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codeName="Ten_skoroszyt"/>
  <xr:revisionPtr revIDLastSave="0" documentId="13_ncr:1_{47508E3C-0F1A-48C2-92FB-CF4ACCAF53BE}" xr6:coauthVersionLast="47" xr6:coauthVersionMax="47" xr10:uidLastSave="{00000000-0000-0000-0000-000000000000}"/>
  <bookViews>
    <workbookView xWindow="-10530" yWindow="-21525" windowWidth="31350" windowHeight="20820" tabRatio="851" activeTab="1" xr2:uid="{00000000-000D-0000-FFFF-FFFF00000000}"/>
  </bookViews>
  <sheets>
    <sheet name="Język - Language" sheetId="15" r:id="rId1"/>
    <sheet name="WP.PL Strona Główna - Flat Fee" sheetId="24" r:id="rId2"/>
    <sheet name="Multiscreen FF - pozostałe" sheetId="8" r:id="rId3"/>
    <sheet name="Mobile FF" sheetId="20" r:id="rId4"/>
    <sheet name="Desktop FF" sheetId="19" r:id="rId5"/>
    <sheet name="Serwisy &amp; Pakiety" sheetId="12" r:id="rId6"/>
    <sheet name="Wideo &amp; Audio" sheetId="4" r:id="rId7"/>
    <sheet name="Instreamly" sheetId="21" r:id="rId8"/>
    <sheet name="Poczta - Email service" sheetId="11" r:id="rId9"/>
    <sheet name="e-commerce" sheetId="25" r:id="rId10"/>
    <sheet name="Rich Media" sheetId="26" r:id="rId11"/>
    <sheet name="Content Marketing" sheetId="17" r:id="rId12"/>
    <sheet name="Dopłaty - Extra charges" sheetId="2" r:id="rId13"/>
    <sheet name="Docs" sheetId="13" r:id="rId14"/>
    <sheet name="Kampanie zeroemisyjne WP" sheetId="27" r:id="rId1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 i="11" l="1"/>
  <c r="I113" i="8"/>
  <c r="I112" i="8"/>
  <c r="I111" i="8"/>
  <c r="I31" i="8"/>
  <c r="B31" i="8"/>
  <c r="F31" i="8"/>
  <c r="F29" i="8"/>
  <c r="B29" i="8"/>
  <c r="K30" i="8"/>
  <c r="J30" i="8"/>
  <c r="J29" i="8"/>
  <c r="I29" i="8"/>
  <c r="B98" i="8"/>
  <c r="I94" i="8"/>
  <c r="I97" i="8"/>
  <c r="I95" i="8"/>
  <c r="I96" i="8"/>
  <c r="F92" i="8"/>
  <c r="B92" i="8"/>
  <c r="K93" i="8"/>
  <c r="J93" i="8"/>
  <c r="J92" i="8"/>
  <c r="I92" i="8"/>
  <c r="C4" i="24"/>
  <c r="E1" i="24"/>
  <c r="D120" i="12" l="1"/>
  <c r="D102" i="12"/>
  <c r="D67" i="12"/>
  <c r="D49" i="12"/>
  <c r="M10" i="12"/>
  <c r="D76" i="12"/>
  <c r="C89" i="24"/>
  <c r="C95" i="24"/>
  <c r="C28" i="11"/>
  <c r="C28" i="19"/>
  <c r="C57" i="20"/>
  <c r="J119" i="8"/>
  <c r="J118" i="8"/>
  <c r="H119" i="8"/>
  <c r="H118" i="8"/>
  <c r="F119" i="8"/>
  <c r="F118" i="8"/>
  <c r="B132" i="8"/>
  <c r="F113" i="8"/>
  <c r="F111" i="8"/>
  <c r="B111" i="8"/>
  <c r="F104" i="8"/>
  <c r="B106" i="8"/>
  <c r="B115" i="8"/>
  <c r="F82" i="8"/>
  <c r="F80" i="8"/>
  <c r="B80" i="8"/>
  <c r="B88" i="8"/>
  <c r="F71" i="8"/>
  <c r="F69" i="8"/>
  <c r="B69" i="8"/>
  <c r="B73" i="8"/>
  <c r="F58" i="8"/>
  <c r="F57" i="8"/>
  <c r="F56" i="8"/>
  <c r="F60" i="8"/>
  <c r="F53" i="8"/>
  <c r="F52" i="8"/>
  <c r="F51" i="8"/>
  <c r="B62" i="8"/>
  <c r="F42" i="8"/>
  <c r="F40" i="8"/>
  <c r="F39" i="8"/>
  <c r="B39" i="8"/>
  <c r="B44" i="8"/>
  <c r="F13" i="8"/>
  <c r="F11" i="8"/>
  <c r="F10" i="8"/>
  <c r="C26" i="8"/>
  <c r="C49" i="24"/>
  <c r="C74" i="24"/>
  <c r="D41" i="24"/>
  <c r="D22" i="12" l="1"/>
  <c r="D33" i="12" l="1"/>
  <c r="D29" i="12" l="1"/>
  <c r="D82" i="12" l="1"/>
  <c r="D86" i="12" l="1"/>
  <c r="C8" i="15" l="1"/>
  <c r="B30" i="15" l="1"/>
  <c r="D40" i="24" l="1"/>
  <c r="D33" i="24"/>
  <c r="D25" i="24"/>
  <c r="D13" i="24"/>
  <c r="D20" i="24"/>
  <c r="D18" i="24"/>
  <c r="C18" i="24"/>
  <c r="D39" i="24"/>
  <c r="C36" i="24"/>
  <c r="D24" i="24"/>
  <c r="C12" i="24"/>
  <c r="C34" i="24"/>
  <c r="D35" i="24"/>
  <c r="D26" i="24"/>
  <c r="D37" i="24"/>
  <c r="C35" i="24"/>
  <c r="C24" i="24"/>
  <c r="D12" i="24"/>
  <c r="C32" i="24"/>
  <c r="D14" i="24"/>
  <c r="D38" i="24"/>
  <c r="C33" i="24"/>
  <c r="D19" i="24"/>
  <c r="D36" i="24"/>
  <c r="D32" i="24"/>
  <c r="D34" i="24"/>
  <c r="D36" i="20"/>
  <c r="C29" i="26"/>
  <c r="C4" i="11"/>
  <c r="C1" i="2"/>
  <c r="G1" i="17"/>
  <c r="L1" i="26"/>
  <c r="E1" i="25"/>
  <c r="F1" i="11"/>
  <c r="C1" i="21"/>
  <c r="L1" i="4"/>
  <c r="Q1" i="12"/>
  <c r="E1" i="19"/>
  <c r="E1" i="20"/>
  <c r="I1" i="8"/>
  <c r="K121" i="8"/>
  <c r="J121" i="8"/>
  <c r="K8" i="26"/>
  <c r="N8" i="26"/>
  <c r="F1" i="15"/>
  <c r="C27" i="26"/>
  <c r="D27" i="26"/>
  <c r="C34" i="11"/>
  <c r="D162" i="12"/>
  <c r="D44" i="20"/>
  <c r="C4" i="17"/>
  <c r="C25" i="8"/>
  <c r="C24" i="8"/>
  <c r="B43" i="8"/>
  <c r="F109" i="8"/>
  <c r="B109" i="8"/>
  <c r="B72" i="8"/>
  <c r="B87" i="8"/>
  <c r="C126" i="12"/>
  <c r="C47" i="20"/>
  <c r="C38" i="17"/>
  <c r="E23" i="19"/>
  <c r="F23" i="19"/>
  <c r="F18" i="19"/>
  <c r="E18" i="19"/>
  <c r="F14" i="19"/>
  <c r="E14" i="19"/>
  <c r="AA62" i="2"/>
  <c r="C98" i="24"/>
  <c r="C101" i="24"/>
  <c r="C105" i="24"/>
  <c r="D98" i="24"/>
  <c r="C102" i="24"/>
  <c r="F99" i="24"/>
  <c r="C100" i="24"/>
  <c r="E98" i="24"/>
  <c r="C103" i="24"/>
  <c r="C104" i="24"/>
  <c r="D100" i="24"/>
  <c r="E99" i="24"/>
  <c r="G99" i="24"/>
  <c r="C73" i="24"/>
  <c r="F78" i="24"/>
  <c r="E54" i="24"/>
  <c r="C4" i="26"/>
  <c r="G62" i="24"/>
  <c r="D39" i="17"/>
  <c r="E52" i="24"/>
  <c r="E87" i="24"/>
  <c r="I10" i="12"/>
  <c r="C93" i="24"/>
  <c r="F77" i="24"/>
  <c r="G53" i="24"/>
  <c r="C4" i="25"/>
  <c r="F32" i="19"/>
  <c r="F52" i="24"/>
  <c r="F62" i="24"/>
  <c r="C4" i="19"/>
  <c r="E61" i="24"/>
  <c r="G39" i="17"/>
  <c r="B4" i="2"/>
  <c r="C57" i="24"/>
  <c r="E77" i="24"/>
  <c r="F53" i="24"/>
  <c r="E31" i="19"/>
  <c r="G88" i="24"/>
  <c r="C4" i="4"/>
  <c r="C39" i="17"/>
  <c r="C4" i="20"/>
  <c r="E60" i="24"/>
  <c r="G78" i="24"/>
  <c r="B4" i="15"/>
  <c r="F88" i="24"/>
  <c r="E79" i="24"/>
  <c r="C4" i="8"/>
  <c r="C123" i="12"/>
  <c r="P4" i="26"/>
  <c r="J4" i="25"/>
  <c r="C23" i="24"/>
  <c r="C47" i="24"/>
  <c r="D22" i="24"/>
  <c r="C46" i="24"/>
  <c r="B12" i="24"/>
  <c r="C9" i="24"/>
  <c r="F8" i="24"/>
  <c r="C45" i="24"/>
  <c r="B30" i="24"/>
  <c r="B18" i="24"/>
  <c r="C28" i="24"/>
  <c r="D16" i="24"/>
  <c r="C44" i="24"/>
  <c r="D9" i="24"/>
  <c r="C17" i="24"/>
  <c r="D7" i="24"/>
  <c r="G4" i="24"/>
  <c r="C29" i="24"/>
  <c r="F7" i="24"/>
  <c r="D28" i="24"/>
  <c r="G8" i="24"/>
  <c r="C16" i="24"/>
  <c r="C7" i="24"/>
  <c r="B21" i="21"/>
  <c r="B8" i="2"/>
  <c r="B39" i="2"/>
  <c r="B36" i="2"/>
  <c r="B28" i="2"/>
  <c r="D35" i="20"/>
  <c r="B32" i="2"/>
  <c r="D42" i="20"/>
  <c r="D23" i="20"/>
  <c r="C124" i="12"/>
  <c r="D17" i="12"/>
  <c r="F48" i="20"/>
  <c r="F22" i="20"/>
  <c r="F15" i="20"/>
  <c r="E8" i="20"/>
  <c r="F40" i="20"/>
  <c r="E22" i="20"/>
  <c r="E48" i="20"/>
  <c r="E28" i="20"/>
  <c r="E40" i="20"/>
  <c r="E15" i="20"/>
  <c r="E34" i="20"/>
  <c r="F34" i="20"/>
  <c r="F8" i="20"/>
  <c r="F28" i="20"/>
  <c r="K103" i="8"/>
  <c r="K110" i="8"/>
  <c r="J110" i="8"/>
  <c r="J84" i="8"/>
  <c r="J78" i="8"/>
  <c r="J103" i="8"/>
  <c r="K84" i="8"/>
  <c r="K78" i="8"/>
  <c r="E8" i="19"/>
  <c r="F8" i="19"/>
  <c r="E7" i="19"/>
  <c r="D7" i="19"/>
  <c r="H121" i="8"/>
  <c r="F121" i="8"/>
  <c r="G121" i="8"/>
  <c r="I121" i="8"/>
  <c r="D17" i="19"/>
  <c r="E17" i="19"/>
  <c r="D11" i="19"/>
  <c r="D10" i="19"/>
  <c r="E22" i="19"/>
  <c r="D9" i="19"/>
  <c r="D22" i="19"/>
  <c r="E13" i="19"/>
  <c r="D13" i="19"/>
  <c r="D47" i="20"/>
  <c r="E21" i="20"/>
  <c r="D7" i="20"/>
  <c r="C55" i="20"/>
  <c r="D49" i="20"/>
  <c r="D9" i="20"/>
  <c r="D29" i="20"/>
  <c r="B71" i="20"/>
  <c r="E27" i="20"/>
  <c r="B67" i="20"/>
  <c r="E47" i="20"/>
  <c r="E7" i="20"/>
  <c r="D39" i="20"/>
  <c r="D21" i="20"/>
  <c r="D16" i="20"/>
  <c r="D41" i="20"/>
  <c r="E33" i="20"/>
  <c r="D33" i="20"/>
  <c r="F4" i="20"/>
  <c r="E14" i="20"/>
  <c r="D14" i="20"/>
  <c r="D27" i="20"/>
  <c r="F4" i="19"/>
  <c r="C31" i="19"/>
  <c r="B131" i="8"/>
  <c r="F70" i="8"/>
  <c r="B130" i="8"/>
  <c r="B10" i="8"/>
  <c r="J109" i="8"/>
  <c r="I109" i="8"/>
  <c r="F112" i="8"/>
  <c r="G161" i="12"/>
  <c r="C7" i="8"/>
  <c r="F14" i="8"/>
  <c r="C14" i="8"/>
  <c r="F7" i="8"/>
  <c r="G132" i="12"/>
  <c r="E131" i="12"/>
  <c r="I40" i="8"/>
  <c r="I42" i="8"/>
  <c r="K55" i="8"/>
  <c r="F66" i="8"/>
  <c r="I66" i="8"/>
  <c r="I36" i="8"/>
  <c r="I48" i="8"/>
  <c r="B36" i="8"/>
  <c r="J7" i="8"/>
  <c r="J37" i="8"/>
  <c r="F81" i="8"/>
  <c r="K49" i="8"/>
  <c r="F77" i="8"/>
  <c r="J55" i="8"/>
  <c r="B83" i="8"/>
  <c r="J49" i="8"/>
  <c r="I39" i="8"/>
  <c r="J14" i="8"/>
  <c r="B77" i="8"/>
  <c r="I54" i="8"/>
  <c r="F83" i="8"/>
  <c r="B66" i="8"/>
  <c r="K37" i="8"/>
  <c r="K67" i="8"/>
  <c r="J67" i="8"/>
  <c r="J66" i="8"/>
  <c r="K8" i="8"/>
  <c r="J15" i="8"/>
  <c r="J8" i="8"/>
  <c r="K15" i="8"/>
  <c r="D20" i="11"/>
  <c r="C26" i="11"/>
  <c r="J8" i="11"/>
  <c r="F8" i="11"/>
  <c r="C25" i="11"/>
  <c r="C167" i="12"/>
  <c r="E159" i="12"/>
  <c r="C159" i="12"/>
  <c r="C138" i="12"/>
  <c r="B21" i="2"/>
  <c r="J48" i="8"/>
  <c r="D7" i="11"/>
  <c r="D12" i="11"/>
  <c r="C52" i="17"/>
  <c r="E29" i="4"/>
  <c r="C39" i="4"/>
  <c r="B9" i="4"/>
  <c r="AA63" i="2"/>
  <c r="B10" i="2"/>
  <c r="C164" i="12"/>
  <c r="E138" i="12"/>
  <c r="D13" i="11"/>
  <c r="B27" i="2"/>
  <c r="F105" i="8"/>
  <c r="C38" i="4"/>
  <c r="F36" i="8"/>
  <c r="J77" i="8"/>
  <c r="J54" i="8"/>
  <c r="J102" i="8"/>
  <c r="J83" i="8"/>
  <c r="C49" i="17"/>
  <c r="B32" i="17"/>
  <c r="D31" i="17"/>
  <c r="C26" i="17"/>
  <c r="H19" i="17"/>
  <c r="F18" i="17"/>
  <c r="H10" i="17"/>
  <c r="D9" i="17"/>
  <c r="F30" i="17"/>
  <c r="G19" i="17"/>
  <c r="B10" i="17"/>
  <c r="G4" i="17"/>
  <c r="D30" i="17"/>
  <c r="F19" i="17"/>
  <c r="C17" i="17"/>
  <c r="H9" i="17"/>
  <c r="E31" i="17"/>
  <c r="I19" i="17"/>
  <c r="D14" i="17"/>
  <c r="D8" i="17"/>
  <c r="C54" i="17"/>
  <c r="C48" i="17"/>
  <c r="G31" i="17"/>
  <c r="H20" i="17"/>
  <c r="C18" i="17"/>
  <c r="H8" i="17"/>
  <c r="C53" i="17"/>
  <c r="F31" i="17"/>
  <c r="F20" i="17"/>
  <c r="F8" i="17"/>
  <c r="C30" i="17"/>
  <c r="H18" i="17"/>
  <c r="F9" i="17"/>
  <c r="B72" i="2"/>
  <c r="B71" i="2"/>
  <c r="B70" i="2"/>
  <c r="AA81" i="2"/>
  <c r="B77" i="2"/>
  <c r="B73" i="2"/>
  <c r="AA79" i="2"/>
  <c r="B86" i="2"/>
  <c r="D69" i="2"/>
  <c r="B76" i="2"/>
  <c r="C69" i="2"/>
  <c r="AA78" i="2"/>
  <c r="B87" i="2"/>
  <c r="B81" i="2"/>
  <c r="B79" i="2"/>
  <c r="B75" i="2"/>
  <c r="B69" i="2"/>
  <c r="B84" i="2"/>
  <c r="B88" i="2"/>
  <c r="B80" i="2"/>
  <c r="B78" i="2"/>
  <c r="B74" i="2"/>
  <c r="B68" i="2"/>
  <c r="B85" i="2"/>
  <c r="C37" i="4"/>
  <c r="F31" i="4"/>
  <c r="E30" i="4"/>
  <c r="D32" i="4"/>
  <c r="D29" i="4"/>
  <c r="C29" i="4"/>
  <c r="B26" i="2"/>
  <c r="I102" i="8"/>
  <c r="J36" i="8"/>
  <c r="H4" i="15"/>
  <c r="M4" i="11"/>
  <c r="C103" i="12"/>
  <c r="C87" i="12"/>
  <c r="D9" i="4"/>
  <c r="C50" i="12"/>
  <c r="D42" i="2"/>
  <c r="B15" i="12"/>
  <c r="C7" i="12"/>
  <c r="D149" i="12"/>
  <c r="D152" i="12"/>
  <c r="D147" i="12"/>
  <c r="D151" i="12"/>
  <c r="D146" i="12"/>
  <c r="D148" i="12"/>
  <c r="D150" i="12"/>
  <c r="D145" i="12"/>
  <c r="D29" i="2"/>
  <c r="D30" i="2"/>
  <c r="C22" i="8"/>
  <c r="B59" i="2"/>
  <c r="B48" i="2"/>
  <c r="D34" i="2"/>
  <c r="B122" i="8"/>
  <c r="G143" i="12"/>
  <c r="E125" i="8"/>
  <c r="D144" i="12"/>
  <c r="D121" i="12"/>
  <c r="I77" i="8"/>
  <c r="I83" i="8"/>
  <c r="E128" i="8"/>
  <c r="C122" i="12"/>
  <c r="G142" i="12"/>
  <c r="G12" i="12"/>
  <c r="C59" i="2"/>
  <c r="D23" i="11"/>
  <c r="B23" i="2"/>
  <c r="B30" i="2"/>
  <c r="B29" i="2"/>
  <c r="C7" i="11"/>
  <c r="C21" i="8"/>
  <c r="D31" i="2"/>
  <c r="C33" i="11"/>
  <c r="B57" i="2"/>
  <c r="B56" i="2"/>
  <c r="B25" i="2"/>
  <c r="B44" i="2"/>
  <c r="B24" i="2"/>
  <c r="E123" i="8"/>
  <c r="B124" i="8"/>
  <c r="B53" i="2"/>
  <c r="C7" i="4"/>
  <c r="H8" i="11"/>
  <c r="B41" i="2"/>
  <c r="C14" i="11"/>
  <c r="B43" i="2"/>
  <c r="V4" i="12"/>
  <c r="B126" i="8"/>
  <c r="B46" i="2"/>
  <c r="B15" i="2"/>
  <c r="B45" i="2"/>
  <c r="B14" i="2"/>
  <c r="D8" i="12"/>
  <c r="B37" i="2"/>
  <c r="B16" i="2"/>
  <c r="C24" i="11"/>
  <c r="I56" i="8"/>
  <c r="B49" i="2"/>
  <c r="B129" i="8"/>
  <c r="C63" i="2"/>
  <c r="I86" i="8"/>
  <c r="B38" i="2"/>
  <c r="B55" i="2"/>
  <c r="C8" i="12"/>
  <c r="B42" i="2"/>
  <c r="C34" i="12"/>
  <c r="B40" i="2"/>
  <c r="D7" i="2"/>
  <c r="C60" i="2"/>
  <c r="B34" i="2"/>
  <c r="B12" i="2"/>
  <c r="B58" i="2"/>
  <c r="I85" i="8"/>
  <c r="B11" i="2"/>
  <c r="B50" i="2"/>
  <c r="C64" i="2"/>
  <c r="C68" i="12"/>
  <c r="B61" i="2"/>
  <c r="C65" i="2"/>
  <c r="D35" i="2"/>
  <c r="D15" i="12"/>
  <c r="B65" i="2"/>
  <c r="B35" i="2"/>
  <c r="D8" i="13"/>
  <c r="C58" i="2"/>
  <c r="B7" i="2"/>
  <c r="D37" i="2"/>
  <c r="C30" i="12"/>
  <c r="B22" i="2"/>
  <c r="D7" i="4"/>
  <c r="B123" i="8"/>
  <c r="C121" i="12"/>
  <c r="B17" i="2"/>
  <c r="B60" i="2"/>
  <c r="B64" i="2"/>
  <c r="B63" i="2"/>
  <c r="C4" i="12"/>
  <c r="C56" i="2"/>
  <c r="D10" i="13"/>
  <c r="B47" i="2"/>
  <c r="C23" i="8"/>
  <c r="E118" i="8"/>
  <c r="D4" i="2"/>
  <c r="C77" i="12"/>
  <c r="B31" i="2"/>
  <c r="K4" i="8"/>
  <c r="B51" i="2"/>
  <c r="B19" i="2"/>
  <c r="B20" i="2"/>
  <c r="E126" i="8"/>
  <c r="B127" i="8"/>
  <c r="B13" i="2"/>
  <c r="C23" i="12"/>
  <c r="D118" i="8"/>
  <c r="B62" i="2"/>
  <c r="C61" i="2"/>
  <c r="B9" i="2"/>
  <c r="B52" i="2"/>
  <c r="C57" i="2"/>
  <c r="B18" i="2"/>
  <c r="B33" i="2"/>
  <c r="C118" i="8"/>
  <c r="E122" i="8"/>
  <c r="E124" i="8"/>
  <c r="E129" i="8"/>
  <c r="C15" i="12"/>
  <c r="C19" i="12"/>
  <c r="C32" i="11"/>
  <c r="E127" i="8"/>
  <c r="C83" i="12"/>
  <c r="C6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19" authorId="0" shapeId="0" xr:uid="{00000000-0006-0000-0500-000001000000}">
      <text>
        <r>
          <rPr>
            <b/>
            <sz val="9"/>
            <color indexed="81"/>
            <rFont val="Tahoma"/>
            <family val="2"/>
            <charset val="238"/>
          </rPr>
          <t>Autor:</t>
        </r>
        <r>
          <rPr>
            <sz val="9"/>
            <color indexed="81"/>
            <rFont val="Tahoma"/>
            <family val="2"/>
            <charset val="238"/>
          </rPr>
          <t xml:space="preserve">
Kliknij "+" z lewej strony aby rozwinąć pakiet</t>
        </r>
      </text>
    </comment>
    <comment ref="C23" authorId="0" shapeId="0" xr:uid="{00000000-0006-0000-0500-000002000000}">
      <text>
        <r>
          <rPr>
            <b/>
            <sz val="9"/>
            <color indexed="81"/>
            <rFont val="Tahoma"/>
            <family val="2"/>
            <charset val="238"/>
          </rPr>
          <t>Autor:</t>
        </r>
        <r>
          <rPr>
            <sz val="9"/>
            <color indexed="81"/>
            <rFont val="Tahoma"/>
            <family val="2"/>
            <charset val="238"/>
          </rPr>
          <t xml:space="preserve">
Kliknij "+" z lewej strony aby rozwinąć pakiet</t>
        </r>
      </text>
    </comment>
    <comment ref="C30" authorId="0" shapeId="0" xr:uid="{00000000-0006-0000-0500-000003000000}">
      <text>
        <r>
          <rPr>
            <b/>
            <sz val="9"/>
            <color indexed="81"/>
            <rFont val="Tahoma"/>
            <family val="2"/>
            <charset val="238"/>
          </rPr>
          <t>Autor:</t>
        </r>
        <r>
          <rPr>
            <sz val="9"/>
            <color indexed="81"/>
            <rFont val="Tahoma"/>
            <family val="2"/>
            <charset val="238"/>
          </rPr>
          <t xml:space="preserve">
Kliknij "+" z lewej strony aby rozwinąć pakiet</t>
        </r>
      </text>
    </comment>
    <comment ref="C34" authorId="0" shapeId="0" xr:uid="{00000000-0006-0000-0500-000004000000}">
      <text>
        <r>
          <rPr>
            <b/>
            <sz val="9"/>
            <color indexed="81"/>
            <rFont val="Tahoma"/>
            <family val="2"/>
            <charset val="238"/>
          </rPr>
          <t>Autor:</t>
        </r>
        <r>
          <rPr>
            <sz val="9"/>
            <color indexed="81"/>
            <rFont val="Tahoma"/>
            <family val="2"/>
            <charset val="238"/>
          </rPr>
          <t xml:space="preserve">
Kliknij "+" z lewej strony aby rozwinąć pakiet</t>
        </r>
      </text>
    </comment>
    <comment ref="C50" authorId="0" shapeId="0" xr:uid="{00000000-0006-0000-0500-000005000000}">
      <text>
        <r>
          <rPr>
            <b/>
            <sz val="9"/>
            <color indexed="81"/>
            <rFont val="Tahoma"/>
            <family val="2"/>
            <charset val="238"/>
          </rPr>
          <t>Autor:</t>
        </r>
        <r>
          <rPr>
            <sz val="9"/>
            <color indexed="81"/>
            <rFont val="Tahoma"/>
            <family val="2"/>
            <charset val="238"/>
          </rPr>
          <t xml:space="preserve">
Kliknij "+" z lewej strony aby rozwinąć pakiet</t>
        </r>
      </text>
    </comment>
    <comment ref="C68" authorId="0" shapeId="0" xr:uid="{00000000-0006-0000-0500-000006000000}">
      <text>
        <r>
          <rPr>
            <b/>
            <sz val="9"/>
            <color indexed="81"/>
            <rFont val="Tahoma"/>
            <family val="2"/>
            <charset val="238"/>
          </rPr>
          <t>Autor:</t>
        </r>
        <r>
          <rPr>
            <sz val="9"/>
            <color indexed="81"/>
            <rFont val="Tahoma"/>
            <family val="2"/>
            <charset val="238"/>
          </rPr>
          <t xml:space="preserve">
Kliknij "+" z lewej strony aby rozwinąć pakiet</t>
        </r>
      </text>
    </comment>
    <comment ref="C77" authorId="0" shapeId="0" xr:uid="{00000000-0006-0000-0500-000007000000}">
      <text>
        <r>
          <rPr>
            <b/>
            <sz val="9"/>
            <color indexed="81"/>
            <rFont val="Tahoma"/>
            <family val="2"/>
            <charset val="238"/>
          </rPr>
          <t>Autor:</t>
        </r>
        <r>
          <rPr>
            <sz val="9"/>
            <color indexed="81"/>
            <rFont val="Tahoma"/>
            <family val="2"/>
            <charset val="238"/>
          </rPr>
          <t xml:space="preserve">
Kliknij "+" z lewej strony aby rozwinąć pakiet</t>
        </r>
      </text>
    </comment>
    <comment ref="C83" authorId="0" shapeId="0" xr:uid="{00000000-0006-0000-0500-000008000000}">
      <text>
        <r>
          <rPr>
            <b/>
            <sz val="9"/>
            <color indexed="81"/>
            <rFont val="Tahoma"/>
            <family val="2"/>
            <charset val="238"/>
          </rPr>
          <t>Autor:</t>
        </r>
        <r>
          <rPr>
            <sz val="9"/>
            <color indexed="81"/>
            <rFont val="Tahoma"/>
            <family val="2"/>
            <charset val="238"/>
          </rPr>
          <t xml:space="preserve">
Kliknij "+" z lewej strony aby rozwinąć pakiet</t>
        </r>
      </text>
    </comment>
    <comment ref="C87" authorId="0" shapeId="0" xr:uid="{00000000-0006-0000-0500-000009000000}">
      <text>
        <r>
          <rPr>
            <b/>
            <sz val="9"/>
            <color indexed="81"/>
            <rFont val="Tahoma"/>
            <family val="2"/>
            <charset val="238"/>
          </rPr>
          <t>Autor:</t>
        </r>
        <r>
          <rPr>
            <sz val="9"/>
            <color indexed="81"/>
            <rFont val="Tahoma"/>
            <family val="2"/>
            <charset val="238"/>
          </rPr>
          <t xml:space="preserve">
Kliknij "+" z lewej strony aby rozwinąć pakiet</t>
        </r>
      </text>
    </comment>
    <comment ref="C103" authorId="0" shapeId="0" xr:uid="{00000000-0006-0000-0500-00000A000000}">
      <text>
        <r>
          <rPr>
            <b/>
            <sz val="9"/>
            <color indexed="81"/>
            <rFont val="Tahoma"/>
            <family val="2"/>
            <charset val="238"/>
          </rPr>
          <t>Autor:</t>
        </r>
        <r>
          <rPr>
            <sz val="9"/>
            <color indexed="81"/>
            <rFont val="Tahoma"/>
            <family val="2"/>
            <charset val="238"/>
          </rPr>
          <t xml:space="preserve">
Kliknij "+" z lewej strony aby rozwinąć pakiet</t>
        </r>
      </text>
    </comment>
  </commentList>
</comments>
</file>

<file path=xl/sharedStrings.xml><?xml version="1.0" encoding="utf-8"?>
<sst xmlns="http://schemas.openxmlformats.org/spreadsheetml/2006/main" count="1570" uniqueCount="550">
  <si>
    <t>PROSZĘ WYBRAĆ JĘZYK</t>
  </si>
  <si>
    <t>PLEASE CHOOSE LANGUAGE</t>
  </si>
  <si>
    <t>Polski</t>
  </si>
  <si>
    <t>English</t>
  </si>
  <si>
    <t>MODEL EMISJI / CZAS</t>
  </si>
  <si>
    <t>1/uu / godzinę / dzień</t>
  </si>
  <si>
    <t>Panel Premium FF³</t>
  </si>
  <si>
    <t>Flat Fee / dzień</t>
  </si>
  <si>
    <t>Panel Premium XL FF³</t>
  </si>
  <si>
    <t>Panel Premium Full Page FF³</t>
  </si>
  <si>
    <t>3/uu / dzień</t>
  </si>
  <si>
    <t>Retail Ad: Screening &amp; Feed 1/uu + DBB &amp; Feed 2/uu</t>
  </si>
  <si>
    <t>Retail Ad: Banner skalowalny &amp; Feed 1/uu + Feed skalowalny 2/uu</t>
  </si>
  <si>
    <t>6/uu / dzień</t>
  </si>
  <si>
    <t>Retail Ad: Screening &amp; Feed 1/uu + DBB &amp; Feed 5/uu</t>
  </si>
  <si>
    <t>Retail Ad: Banner skalowalny &amp; Feed 1/uu + Feed skalowalny 5/uu</t>
  </si>
  <si>
    <t>Welcome Screen XL⁴ 1/uu + DBB/Wideboard FF</t>
  </si>
  <si>
    <t>Dniówka Cztery Plus  (od 4. odsłony)</t>
  </si>
  <si>
    <t>Retail Ad: Screening &amp; Feed 1/uu + DBB &amp; Feed FF</t>
  </si>
  <si>
    <t>Retail Ad: Banner skalowalny &amp; Feed 1/uu + Feed skalowalny FF</t>
  </si>
  <si>
    <t>Glonews FF / MidBox FF (uwaga: emisja z tego samego slotu: x62)</t>
  </si>
  <si>
    <t>Native Ads</t>
  </si>
  <si>
    <t>⁵ HALFPAGE DESKTOP przy modułach tematycznych widoczny jest tylko na szerokiej wersji strony (ok. 65% potencjału SG WP desktop)</t>
  </si>
  <si>
    <t>MOBILE - DNIÓWKI / TYGODNIÓWKI</t>
  </si>
  <si>
    <t>WP STRONA GŁÓWNA (MOBILE)</t>
  </si>
  <si>
    <t>Panel Premium⁴</t>
  </si>
  <si>
    <t>I dniówka, cap 3/uu / dzień</t>
  </si>
  <si>
    <t>II dniówka, FF od 4. odsłony</t>
  </si>
  <si>
    <t>Commercial Break⁵ (slot x02)</t>
  </si>
  <si>
    <t>cap 1/uu / godzinę / dzień</t>
  </si>
  <si>
    <t>CENA NET NET</t>
  </si>
  <si>
    <t>NATIVE AD w module tematycznym</t>
  </si>
  <si>
    <t>Wiadomości</t>
  </si>
  <si>
    <t>Flat Fee</t>
  </si>
  <si>
    <t>Sport</t>
  </si>
  <si>
    <t>Biznes</t>
  </si>
  <si>
    <t>Gwiazdy</t>
  </si>
  <si>
    <t>Moto</t>
  </si>
  <si>
    <t>Styl Życia</t>
  </si>
  <si>
    <t>¹ możliwość emisji formatu z efektem parallaxy: +15% do ceny bazowej</t>
  </si>
  <si>
    <t>² karuzela, scroller, slider, cube w rectangle'u: +30%</t>
  </si>
  <si>
    <t>³ na WP SG możliwość emisji formy reklamowej Rectangle lub Halfpage w tej samej cenie</t>
  </si>
  <si>
    <t>⁴ możliwa emisja FullPage Mobile Panel Premium: +25% do ceny bazowej (Format dostepny na Stronie Głównej WP oraz serwisach: WP Pogoda, WP Facet, WP Teleshow, WP Film, WP Opinie, WP Turystyka, WP Gwiazdy, WP Gry, WP Wiadomości, WP Kuchnia, WP Finanse, WP Dom, WP Moto, WP Kobieta, WP Tech, WP Książki, WP Wawalove)</t>
  </si>
  <si>
    <t>DESKTOP - DNIÓWKI / TYGODNIÓWKI</t>
  </si>
  <si>
    <t>WP STRONA GŁÓWNA (DESKTOP)</t>
  </si>
  <si>
    <t>Panel Premium¹</t>
  </si>
  <si>
    <t>Panel Premium XL¹</t>
  </si>
  <si>
    <t>Banner okazjonalny</t>
  </si>
  <si>
    <t>Commercial Break XL²</t>
  </si>
  <si>
    <t>¹ Scroll Panel Premium (desktop): +30% do ceny bazowej</t>
  </si>
  <si>
    <t>³ emisja tylko na szerokiej wersji serwisu SG WP (ok. 65% potencjału SG WP desktop)</t>
  </si>
  <si>
    <t>DESKTOP</t>
  </si>
  <si>
    <t>Panel Premium XL FF</t>
  </si>
  <si>
    <t>Panel Premium FF</t>
  </si>
  <si>
    <t>Retail Ad</t>
  </si>
  <si>
    <t>Panel Premium XL</t>
  </si>
  <si>
    <t>Panel Premium</t>
  </si>
  <si>
    <t>FF / dzień</t>
  </si>
  <si>
    <t>MONEY.PL: STRONA GŁÓWNA + ROS (DESKTOP)</t>
  </si>
  <si>
    <t>MONEY.PL: STRONA GŁÓWNA + ROS (MOBILE)</t>
  </si>
  <si>
    <t xml:space="preserve">Panel Premium </t>
  </si>
  <si>
    <t>MONEY.PL: STRONA GŁÓWNA (DESKTOP)</t>
  </si>
  <si>
    <t>MONEY.PL: STRONA GŁÓWNA (MOBILE)</t>
  </si>
  <si>
    <t>¹ Content Box XL +50%</t>
  </si>
  <si>
    <t>ROS OPEN.FM (DESKTOP)</t>
  </si>
  <si>
    <t>ROS OPEN.FM (MOBILE)</t>
  </si>
  <si>
    <t>3/uu / dzień / tydzień</t>
  </si>
  <si>
    <t>Surround Ad (Mega Double Billboard + Halfpage 3/uu / dzień)</t>
  </si>
  <si>
    <t>¹ W skład pakietu "Serwisy w domenie WP.PL" wchodzą: wiadomosci.wp.pl, kobieta.wp.pl, teleshow.wp.pl, film.wp.pl, tech.wp.pl, turystyka.wp.pl, gwiazdy.wp.pl, ksiazki.wp.pl, kuchnia.wp.pl, finanse.wp.pl, facet.wp.pl, dom.wp.pl, moto.wp.pl, opinie.wp.pl, wawalove.wp.pl, gry.wp.pl, wroclaw.wp.pl</t>
  </si>
  <si>
    <t>CENA RC</t>
  </si>
  <si>
    <t>WP Finanse, Money</t>
  </si>
  <si>
    <t>WP Wiadomości, WP Opinie</t>
  </si>
  <si>
    <t>WP Moto, Autokult, Autocentrum</t>
  </si>
  <si>
    <t>Technologia</t>
  </si>
  <si>
    <t>WP Kobieta, Kafeteria</t>
  </si>
  <si>
    <t>abcZdrowie, Parenting</t>
  </si>
  <si>
    <t xml:space="preserve">Plotka </t>
  </si>
  <si>
    <t>WP Gwiazdy, Pudelek</t>
  </si>
  <si>
    <t>WP Turystyka, WP Pogoda</t>
  </si>
  <si>
    <t xml:space="preserve"> </t>
  </si>
  <si>
    <t>MOBILE - DNIÓWKI</t>
  </si>
  <si>
    <t>WP SPORTOWEFAKTY (Strona Główna + ROS)</t>
  </si>
  <si>
    <t>WP WIADOMOŚCI (Strona Główna + ROS)</t>
  </si>
  <si>
    <t>WP KOBIETA (Strona Główna + ROS)</t>
  </si>
  <si>
    <t>PUDELEK (STRONA GŁÓWNA + ROS)</t>
  </si>
  <si>
    <t>O2 (Strona Główna + ROS)</t>
  </si>
  <si>
    <t>Bottom Box (slot x53)</t>
  </si>
  <si>
    <t>MONEY.PL (bez subdomen)</t>
  </si>
  <si>
    <t>² karuzela, scroller, slider, cube w rectangle'u: +30%; karuzela XL +50% do ceny bazowej</t>
  </si>
  <si>
    <t>⁶ W skład pakietu "Serwisy w domenie WP.PL" wchodzą: wiadomosci.wp.pl, kobieta.wp.pl, teleshow.wp.pl, film.wp.pl, tech.wp.pl, turystyka.wp.pl, gwiazdy.wp.pl, ksiazki.wp.pl, kuchnia.wp.pl, finanse.wp.pl, facet.wp.pl, dom.wp.pl, moto.wp.pl, opinie.wp.pl, wawalove.wp.pl, gry.wp.pl, wroclaw.wp.pl</t>
  </si>
  <si>
    <t>REKLAMA FLAT FEE - mobile Poczta WP i o2</t>
  </si>
  <si>
    <t>MIEJSCE EMISJI</t>
  </si>
  <si>
    <t>LOGIN BOKS</t>
  </si>
  <si>
    <t>BANNER W INTERFEJSIE (slot x01)</t>
  </si>
  <si>
    <t>MESSAGE BOX (slot x03)</t>
  </si>
  <si>
    <t>PANEL PREMIUM</t>
  </si>
  <si>
    <t>Flat Fee RC / tydzień</t>
  </si>
  <si>
    <t>Flat Fee RC / dzień</t>
  </si>
  <si>
    <t>FLAT FEE</t>
  </si>
  <si>
    <t>Poczta WP</t>
  </si>
  <si>
    <t>Poczta o2</t>
  </si>
  <si>
    <t xml:space="preserve">
</t>
  </si>
  <si>
    <t>PUDELEK STRONA GŁÓWNA + ROS</t>
  </si>
  <si>
    <t>O2 STRONA GŁÓWNA</t>
  </si>
  <si>
    <t>Flat Fee / tydzień</t>
  </si>
  <si>
    <t>WP Wiadomości</t>
  </si>
  <si>
    <t>Nagłówek sponsorowany standard</t>
  </si>
  <si>
    <t>Nagłówek sponsorowany standard + tapeta 1/uu na dzień</t>
  </si>
  <si>
    <t>MODEL EMISJI</t>
  </si>
  <si>
    <t>standard</t>
  </si>
  <si>
    <t>WP Finanse</t>
  </si>
  <si>
    <t>Pakiet Money ROS (nowa wersja serwisu)</t>
  </si>
  <si>
    <t>WP SportoweFakty</t>
  </si>
  <si>
    <t>WP Autokult</t>
  </si>
  <si>
    <t>WP Gadżetomania</t>
  </si>
  <si>
    <t>WP Komórkomania</t>
  </si>
  <si>
    <t>WP Fotoblogia</t>
  </si>
  <si>
    <t>WP Moto</t>
  </si>
  <si>
    <t>WP Film</t>
  </si>
  <si>
    <t>WP Kobieta</t>
  </si>
  <si>
    <t>WP Kuchnia</t>
  </si>
  <si>
    <t>WP Turystyka</t>
  </si>
  <si>
    <t>WP abcZdrowie</t>
  </si>
  <si>
    <t>Autocentrum</t>
  </si>
  <si>
    <t>FORMATY DESKTOP</t>
  </si>
  <si>
    <t>RECTANGLE, SKYSCRAPER</t>
  </si>
  <si>
    <t>DOUBLE BILLBOARD</t>
  </si>
  <si>
    <t>TRIPLE BILLBOARD, WIDEBOARD</t>
  </si>
  <si>
    <r>
      <t>SCREENING 200</t>
    </r>
    <r>
      <rPr>
        <b/>
        <vertAlign val="superscript"/>
        <sz val="10"/>
        <color theme="0"/>
        <rFont val="Tahoma"/>
        <family val="2"/>
        <charset val="238"/>
      </rPr>
      <t>2, 3</t>
    </r>
  </si>
  <si>
    <r>
      <t xml:space="preserve">COMMERCIAL BREAK </t>
    </r>
    <r>
      <rPr>
        <b/>
        <vertAlign val="superscript"/>
        <sz val="10"/>
        <color theme="0"/>
        <rFont val="Tahoma"/>
        <family val="2"/>
        <charset val="238"/>
      </rPr>
      <t>2, 5</t>
    </r>
  </si>
  <si>
    <t>IN VIDEO BANNER</t>
  </si>
  <si>
    <t>BRANDING PLAYERA</t>
  </si>
  <si>
    <t>STARTAD / PAUSEAD</t>
  </si>
  <si>
    <t>FLOATING HALFPAGE</t>
  </si>
  <si>
    <r>
      <t>MEGA SCREENING</t>
    </r>
    <r>
      <rPr>
        <b/>
        <vertAlign val="superscript"/>
        <sz val="10"/>
        <color theme="0"/>
        <rFont val="Tahoma"/>
        <family val="2"/>
        <charset val="238"/>
      </rPr>
      <t>6</t>
    </r>
  </si>
  <si>
    <t>FORMATY MOBILNE</t>
  </si>
  <si>
    <r>
      <t>COMMERCIAL BREAK</t>
    </r>
    <r>
      <rPr>
        <b/>
        <vertAlign val="superscript"/>
        <sz val="10"/>
        <color theme="0" tint="-4.9989318521683403E-2"/>
        <rFont val="Tahoma"/>
        <family val="2"/>
        <charset val="238"/>
      </rPr>
      <t>2, 5</t>
    </r>
  </si>
  <si>
    <t>reklama przy playerze wideo</t>
  </si>
  <si>
    <t>VCPM RC</t>
  </si>
  <si>
    <t>STAT. WEW.</t>
  </si>
  <si>
    <t>STAT. ZEW.</t>
  </si>
  <si>
    <t>-</t>
  </si>
  <si>
    <t>WPM ZASIĘG PREMIUM</t>
  </si>
  <si>
    <t>WPM Zasięg (emisja na ROS, w tym na serwisach SG WP, SG O2, Poczta WP/O2)</t>
  </si>
  <si>
    <t>PREMIUM HP</t>
  </si>
  <si>
    <t>POCZTA</t>
  </si>
  <si>
    <t>Poczta WP i o2</t>
  </si>
  <si>
    <t>Praca.money.pl</t>
  </si>
  <si>
    <t>Portal Money.pl</t>
  </si>
  <si>
    <t>WP Opinie</t>
  </si>
  <si>
    <t>WP Pogoda</t>
  </si>
  <si>
    <t>WP Wroclaw</t>
  </si>
  <si>
    <t>Wawalove</t>
  </si>
  <si>
    <t>WP Gry</t>
  </si>
  <si>
    <t>WP Gwiazdy</t>
  </si>
  <si>
    <t>WP Książki</t>
  </si>
  <si>
    <t>WP Program TV</t>
  </si>
  <si>
    <t>WP Teleshow</t>
  </si>
  <si>
    <t>WP Pilot</t>
  </si>
  <si>
    <t>WP Wideo</t>
  </si>
  <si>
    <t>polygamia.pl</t>
  </si>
  <si>
    <t>Pudelek</t>
  </si>
  <si>
    <t>o2 serwisy</t>
  </si>
  <si>
    <t>OpenFM</t>
  </si>
  <si>
    <t>WP Dom</t>
  </si>
  <si>
    <t>WP Facet</t>
  </si>
  <si>
    <t>Kafeteria.pl</t>
  </si>
  <si>
    <t>WP Parenting</t>
  </si>
  <si>
    <t>WP Tech</t>
  </si>
  <si>
    <t>dobreprogramy.pl³</t>
  </si>
  <si>
    <t>WP Fitness</t>
  </si>
  <si>
    <t>Medycyna24</t>
  </si>
  <si>
    <t>Nerwica.com</t>
  </si>
  <si>
    <t>⁴ Emisja z wyłączeniem górnego slotu x01.</t>
  </si>
  <si>
    <r>
      <rPr>
        <vertAlign val="superscript"/>
        <sz val="8"/>
        <color theme="1"/>
        <rFont val="Tahoma"/>
        <family val="2"/>
        <charset val="238"/>
      </rPr>
      <t>6</t>
    </r>
    <r>
      <rPr>
        <sz val="8"/>
        <color theme="1"/>
        <rFont val="Tahoma"/>
        <family val="2"/>
        <charset val="238"/>
      </rPr>
      <t xml:space="preserve"> Emisja możliwa wyłącznie na serwisach: WP Autokult, WP Facet, WP Film, WP Gwiazdy, WP Kobieta, WP Moto, Money ROS, WP Opinie, Pudelek, WP Sportowefakty, WP Turystyka, WP Wiadomości</t>
    </r>
  </si>
  <si>
    <t>PAKIETY ZASIĘGOWE</t>
  </si>
  <si>
    <t>CONTENT BOX rotacyjny (WP SG), RECTANGLE, BANNER SKALOWALNY</t>
  </si>
  <si>
    <r>
      <t>HALFPAGE</t>
    </r>
    <r>
      <rPr>
        <b/>
        <vertAlign val="superscript"/>
        <sz val="10"/>
        <color theme="0"/>
        <rFont val="Tahoma"/>
        <family val="2"/>
      </rPr>
      <t>5, 6</t>
    </r>
  </si>
  <si>
    <t>WP SG (mobile)</t>
  </si>
  <si>
    <t>Strona Główna WP.PL, moduły tematyczne: Sport, Biznes, Gwiazdy, Moto&amp;Tech, Styl Życia</t>
  </si>
  <si>
    <t>nd</t>
  </si>
  <si>
    <t>o2.pl (mobile)</t>
  </si>
  <si>
    <t>o2.pl (Strona Główna + ROS)</t>
  </si>
  <si>
    <t>Pudelek (mobile)</t>
  </si>
  <si>
    <t>Pudelek.pl (Strona Główna + ROS)</t>
  </si>
  <si>
    <t>FLOATING HALFPAGE 300x600, CONTENT BOX 970x200², WIDEBOARD 970x200</t>
  </si>
  <si>
    <t>COMMERCIAL BREAK</t>
  </si>
  <si>
    <t>BANNER SKALOWALNY, RECTANGLE</t>
  </si>
  <si>
    <t>COMMERCIAL BREAK MOBILE</t>
  </si>
  <si>
    <t>WP SG (desktop)</t>
  </si>
  <si>
    <t>Emisja wyłącznie w formie dniówki Flat Fee capp 1/uu na godzinę. Wycena w zakładce Multiscreen.</t>
  </si>
  <si>
    <t>Poczta WPM Logout (desktop)⁴</t>
  </si>
  <si>
    <t>Wylogowanie z Poczty WP i Poczty o2</t>
  </si>
  <si>
    <t>O2 (cross-device)</t>
  </si>
  <si>
    <t>SG + ROS</t>
  </si>
  <si>
    <t>Pudelek (cross-device)</t>
  </si>
  <si>
    <t>Premium BIZ/MOTO (cross-device)</t>
  </si>
  <si>
    <t>WP SG moduł BIZNES i MOTO/TECH Money.pl, WP Finanse, Autocentrum, Autokult, WP Moto</t>
  </si>
  <si>
    <t>Premium MOTO (cross-device)</t>
  </si>
  <si>
    <t>SG WP moduł MOTO, Autocentrum, Autokult, WP Moto</t>
  </si>
  <si>
    <t>SKYSCRAPER 160x600 (lewa i prawa kolumna)</t>
  </si>
  <si>
    <t>DOUBLE BILLBOARD / WIDEBOARD</t>
  </si>
  <si>
    <t>MIX FORMATÓW</t>
  </si>
  <si>
    <t>750x200, 970x200, 160x600, 300x600</t>
  </si>
  <si>
    <t>Poczta WP+o2 (desktop)</t>
  </si>
  <si>
    <t>10 mln. PV</t>
  </si>
  <si>
    <t>20 mln. PV</t>
  </si>
  <si>
    <t>² Content Box - emisja na SG WP. Możliwość emisji mega formatu po uwzględnieniu dopłaty zgodnie z cennikiem dopłat. Na stronie wyogowania z Poczty możliwość emsiji również formatów 970x200, 970x300, 970x600.</t>
  </si>
  <si>
    <t>³ Odsłony bez cappingu.</t>
  </si>
  <si>
    <t>⁵ możliwość emisji formatu z efektem parallaxy: +15% do ceny</t>
  </si>
  <si>
    <t>⁶ karuzela XL: +50%</t>
  </si>
  <si>
    <t>Instream Video Ad CPM (net net)</t>
  </si>
  <si>
    <t>6"</t>
  </si>
  <si>
    <t>15"</t>
  </si>
  <si>
    <t>30"</t>
  </si>
  <si>
    <t>WPM ZASIĘG INSTREAM</t>
  </si>
  <si>
    <t>Dopłata za emisję na wybranych pakietch +30%</t>
  </si>
  <si>
    <t>Ceny "3x100" oraz "CPV" dotyczą pojedyńczych odtworzeń spełniających warunki danego modelu rozliczeniowego</t>
  </si>
  <si>
    <t>WP CUSTOM VIDEO</t>
  </si>
  <si>
    <t xml:space="preserve">WP Custom Video </t>
  </si>
  <si>
    <t>* możliwość wyboru wartości parametrów widzialności reklamy (Viewability) na podstawie którego rozliczana jest emisja wideo
** dla modelu sprzedażowego opartego o parametr widzialności gdzie VA&gt;100%/2sek, automatycznie opcjonlanie  dodajemy button CTA</t>
  </si>
  <si>
    <t>Warunek sukcesu</t>
  </si>
  <si>
    <t>VA</t>
  </si>
  <si>
    <t>VTR</t>
  </si>
  <si>
    <t>Cena</t>
  </si>
  <si>
    <t>50%/2sek</t>
  </si>
  <si>
    <t>-10% ceny 3x100</t>
  </si>
  <si>
    <t>-10% ceny vCPM</t>
  </si>
  <si>
    <t>60%/2sek</t>
  </si>
  <si>
    <t>70%/2sek</t>
  </si>
  <si>
    <t>80%/2sek</t>
  </si>
  <si>
    <t>-5% ceny 3x100</t>
  </si>
  <si>
    <t>-5% ceny vCPM</t>
  </si>
  <si>
    <t>90%/2sek</t>
  </si>
  <si>
    <t>100%/2sek</t>
  </si>
  <si>
    <t>cena 3x100</t>
  </si>
  <si>
    <t>cena vCPM</t>
  </si>
  <si>
    <t>100%/3sek</t>
  </si>
  <si>
    <t>+10% do 3x100</t>
  </si>
  <si>
    <t>+10% do vCPM</t>
  </si>
  <si>
    <t>100%/4sek</t>
  </si>
  <si>
    <t>+20% do 3x100</t>
  </si>
  <si>
    <t>+20% do vCPM</t>
  </si>
  <si>
    <t>100%/5sek</t>
  </si>
  <si>
    <t>+30% do 3x100</t>
  </si>
  <si>
    <t>+30% do vCPM</t>
  </si>
  <si>
    <t>EMISJA ODSŁONOWA CPM</t>
  </si>
  <si>
    <t>Instream Audio Ad OPEN.FM CPM (net net)</t>
  </si>
  <si>
    <t>Instream Audio Bumper Ad CPM (net net)</t>
  </si>
  <si>
    <t>Outstream Video Ad CPM¹ (net net)</t>
  </si>
  <si>
    <t>do 60"</t>
  </si>
  <si>
    <t>max 30"</t>
  </si>
  <si>
    <t>max 6"</t>
  </si>
  <si>
    <t>PAKIET APLIKACJI</t>
  </si>
  <si>
    <t>OpenFM, WP Pilot</t>
  </si>
  <si>
    <t>Serwis OpenFM (aplikacja oraz WWW)</t>
  </si>
  <si>
    <t>Cenny w powyższych  modelach sprzedażowych dotyczą rozliczenia za 1000 rozpoczętych odtworzeń/sukcesów (w zależności od wybranego modelu)</t>
  </si>
  <si>
    <r>
      <rPr>
        <vertAlign val="superscript"/>
        <sz val="8"/>
        <color theme="1"/>
        <rFont val="Tahoma"/>
        <family val="2"/>
        <charset val="238"/>
      </rPr>
      <t>4</t>
    </r>
    <r>
      <rPr>
        <sz val="8"/>
        <color theme="1"/>
        <rFont val="Tahoma"/>
        <family val="2"/>
      </rPr>
      <t xml:space="preserve"> Rozliczenie po statystykach wewnętrznych WPM, 100% widoczności playera przez minimum 2 sekundy. W przypadku mierzenia kodami zewnętrznymi dopłata do ceny bazowej +30%.</t>
    </r>
  </si>
  <si>
    <r>
      <rPr>
        <vertAlign val="superscript"/>
        <sz val="8"/>
        <color theme="1"/>
        <rFont val="Tahoma"/>
        <family val="2"/>
        <charset val="238"/>
      </rPr>
      <t>5</t>
    </r>
    <r>
      <rPr>
        <sz val="8"/>
        <color theme="1"/>
        <rFont val="Tahoma"/>
        <family val="2"/>
        <charset val="238"/>
      </rPr>
      <t xml:space="preserve"> Cena za spot interaktywny targetowany dynamicznie</t>
    </r>
  </si>
  <si>
    <t>Targetowanie reklamy video DataPower: wycena indywidualna</t>
  </si>
  <si>
    <t>Targetowanie reklamy video po kategoriach demograficznych i geograficznych zgodnie z dopłatami w zakładce "Dopłaty - Extra charges"</t>
  </si>
  <si>
    <t>Dopłata za zwiększenie długości spotu w modelu vCPM i CPM powyżej standardowej długości</t>
  </si>
  <si>
    <t>do 35"</t>
  </si>
  <si>
    <t>+5%</t>
  </si>
  <si>
    <t>do 40"</t>
  </si>
  <si>
    <t>+10%</t>
  </si>
  <si>
    <t>do 45"</t>
  </si>
  <si>
    <t>+20%</t>
  </si>
  <si>
    <t>do 50"</t>
  </si>
  <si>
    <t>+30%</t>
  </si>
  <si>
    <t>do 55"</t>
  </si>
  <si>
    <t>+40%</t>
  </si>
  <si>
    <t>+50%</t>
  </si>
  <si>
    <t xml:space="preserve">          Sprzedaż na powierzchniach zewnętrznych na Twitch i YouTube</t>
  </si>
  <si>
    <t>Miejsce emisji</t>
  </si>
  <si>
    <t>Cena za widzialną odsłonę</t>
  </si>
  <si>
    <t>Stream live na Twitch i YouTube</t>
  </si>
  <si>
    <t>0,07 PLN net net</t>
  </si>
  <si>
    <r>
      <t>Mechanizmy dodatkowe</t>
    </r>
    <r>
      <rPr>
        <b/>
        <vertAlign val="superscript"/>
        <sz val="10"/>
        <color theme="0"/>
        <rFont val="Tahoma"/>
        <family val="2"/>
      </rPr>
      <t>1</t>
    </r>
  </si>
  <si>
    <t>Nick z czatu</t>
  </si>
  <si>
    <t>Losowy nick użytkownika jest pobierany z czatu i wyświetlany w przestrzeni emitowanej w streamie kreacji.</t>
  </si>
  <si>
    <t>2 000 PLN net net</t>
  </si>
  <si>
    <t>Licznik</t>
  </si>
  <si>
    <t>Licznik czasu odmierzający moment wystąpenia danego zdarzenia.</t>
  </si>
  <si>
    <t>Pogoda</t>
  </si>
  <si>
    <t>Dobór typu emitowanej kreacji do aktualnej pogody.</t>
  </si>
  <si>
    <t>Wyświetlanie kodów rabatowych</t>
  </si>
  <si>
    <t>Możliwość wyświetlania kodów rabatowych na dany produkt. Pojawienie się kodu rabatowego lub wysokość rabatu jest regulowana przez ilość widzów.</t>
  </si>
  <si>
    <t>10 000 PLN net net</t>
  </si>
  <si>
    <t>Rozpoznawanie mowy</t>
  </si>
  <si>
    <t>Grafika na streamie pojawia się, gdy streamer wypowie odpowiednią komendę.</t>
  </si>
  <si>
    <t>40 000 PLN net net</t>
  </si>
  <si>
    <t>Aktywacja emisji przy wykorzystaniu czatu</t>
  </si>
  <si>
    <t>Grafika na streamie pojawi się gdy widz wpisze na czacie odpowiednią frazę lub słowo.</t>
  </si>
  <si>
    <t>5 000 PLN net net</t>
  </si>
  <si>
    <t>Ankieta</t>
  </si>
  <si>
    <t>Na streamie wyświetlana jest grafika z ankietą zawierającą odpowidzi a,b,c,d. Odpowiedzi są zbierane i po czasie wyświetlane na kolejnej grafice.</t>
  </si>
  <si>
    <t>Zewnętrzne źródło sloganu</t>
  </si>
  <si>
    <t>Mechanizm pobiera slogan reklamowy z zewnętrznego źródła i umieszcza go w grafice emitowanej na streamie.</t>
  </si>
  <si>
    <t>Inne</t>
  </si>
  <si>
    <t>Wycena indywidualna po wcześniejszym potwierdzeniu możliwości wykonania danego mechanizmu.</t>
  </si>
  <si>
    <t>WERSJA SERWISU</t>
  </si>
  <si>
    <t xml:space="preserve">WP </t>
  </si>
  <si>
    <t xml:space="preserve">O2 </t>
  </si>
  <si>
    <t>DISPLAY DESKTOP / MOBILE</t>
  </si>
  <si>
    <t>Login Box</t>
  </si>
  <si>
    <t>Mobile</t>
  </si>
  <si>
    <t>Desktop</t>
  </si>
  <si>
    <t>Strona główna Poczty po zalogowaniu</t>
  </si>
  <si>
    <t>Banner</t>
  </si>
  <si>
    <t>Message Box</t>
  </si>
  <si>
    <t>Bottom Box</t>
  </si>
  <si>
    <t>Skyscraper / Halfpage³ (prawa kolumna)</t>
  </si>
  <si>
    <t>³ Halfpage wyświetlany tylko na wersji szerokiej serwisu</t>
  </si>
  <si>
    <t>MAILING</t>
  </si>
  <si>
    <t>FORMAT</t>
  </si>
  <si>
    <t>WP + O2 [CPM]</t>
  </si>
  <si>
    <t>CENA NET NET²</t>
  </si>
  <si>
    <t>FORMA REKLAMOWA</t>
  </si>
  <si>
    <t>SCENARIUSZ EMISJI</t>
  </si>
  <si>
    <t>CENA</t>
  </si>
  <si>
    <t>WP SG</t>
  </si>
  <si>
    <t>Retail Dniówka</t>
  </si>
  <si>
    <t>DESKTOP: Screening &amp; Feed 1/uu + DBB &amp; Feed 2/uu
MOBILE: Banner skalowalny &amp; Feed 1/uu + Feed skalowalny 2/uu</t>
  </si>
  <si>
    <t>SPRAWDŹ</t>
  </si>
  <si>
    <t>DESKTOP: Screening &amp; Feed 1/uu + DBB &amp; Feed 5/uu
MOBILE: Banner skalowalny &amp; Feed 1/uu + Feed skalowalny 5/uu</t>
  </si>
  <si>
    <t>DESKTOP: Screening &amp; Feed 1/uu + DBB &amp; Feed FF
MOBILE: Banner skalowalny &amp; Feed 1/uu + Feed skalowalny FF</t>
  </si>
  <si>
    <t>o2</t>
  </si>
  <si>
    <t>Zgodnie ze specyfikacją techniczną</t>
  </si>
  <si>
    <t>Autokult</t>
  </si>
  <si>
    <t>Retail Tygodniówka</t>
  </si>
  <si>
    <t>DESKTOP: Screening 1/uu + Banner &amp; Feed FF
MOBILE: Banner &amp; Feed 1/uu + Feed FF</t>
  </si>
  <si>
    <t>3/uu / tydzień</t>
  </si>
  <si>
    <t>320 000 PLN RC</t>
  </si>
  <si>
    <t>Technologia: WP Tech, Dobreprogramy, Komórkomania, Fotoblogia, Gadżetomania</t>
  </si>
  <si>
    <t>DESKTOP: Screening &amp; Feed 3/uu
MOBILE: Banner &amp; Feed 3/uu</t>
  </si>
  <si>
    <t>630 000 PLN RC</t>
  </si>
  <si>
    <t>DESKTOP: Screening 1/uu + Banner &amp; Feed 2/uu
MOBILE: Banner &amp; Feed 1/uu + Feed 2/uu</t>
  </si>
  <si>
    <t>530 000 PLN RC</t>
  </si>
  <si>
    <t>WP SG, o2.pl SG</t>
  </si>
  <si>
    <t>Kokpit WP Okazje</t>
  </si>
  <si>
    <t>50 000 PLN NET NET</t>
  </si>
  <si>
    <t>WP SG (desktop, tylko szeroka wersja serwisu)</t>
  </si>
  <si>
    <t>Gazetki reklamowe</t>
  </si>
  <si>
    <t>5 000 PLN NET NET</t>
  </si>
  <si>
    <t>30 000 PLN NET NET</t>
  </si>
  <si>
    <t>domodi.pl / allani.pl</t>
  </si>
  <si>
    <t>Belka</t>
  </si>
  <si>
    <t>linkowanie na listing Domodi</t>
  </si>
  <si>
    <t>2 000 PLN NET NET</t>
  </si>
  <si>
    <t>linkowanie na stronę klienta</t>
  </si>
  <si>
    <t>3 000 PLN NET NET</t>
  </si>
  <si>
    <t>Mailing</t>
  </si>
  <si>
    <t>Flat Fee / wysyłka</t>
  </si>
  <si>
    <t>4 000 PLN NET NET</t>
  </si>
  <si>
    <t>Push reklamowy</t>
  </si>
  <si>
    <t>EKRAN</t>
  </si>
  <si>
    <t>Screening push z wideo / galerią zdjęć / feedem produktowym</t>
  </si>
  <si>
    <t>Flat Fee / capp 3uu</t>
  </si>
  <si>
    <t>1 072 000 PLN</t>
  </si>
  <si>
    <t>1 287 000 PLN</t>
  </si>
  <si>
    <t>ContentBox Sport z feedem produktowym / wideo</t>
  </si>
  <si>
    <t>Cross device</t>
  </si>
  <si>
    <t>604 000 PLN</t>
  </si>
  <si>
    <t>728 000 PLN</t>
  </si>
  <si>
    <t>ContentBox Biznes z feedem produktowym / wideo</t>
  </si>
  <si>
    <t>422 000 PLN</t>
  </si>
  <si>
    <t>500 000 PLN</t>
  </si>
  <si>
    <t>ContentBox Gwiazdy z feedem produktowym / wideo</t>
  </si>
  <si>
    <t>266 000 PLN</t>
  </si>
  <si>
    <t>325 000 PLN</t>
  </si>
  <si>
    <t>318 000 PLN</t>
  </si>
  <si>
    <t xml:space="preserve"> 377 000 PLN</t>
  </si>
  <si>
    <t>vCPM</t>
  </si>
  <si>
    <t>120 PLN</t>
  </si>
  <si>
    <t>Serwisy w domenie WP.PL</t>
  </si>
  <si>
    <t>230 PLN</t>
  </si>
  <si>
    <t>Halfpage zdrapka</t>
  </si>
  <si>
    <t>235 PLN</t>
  </si>
  <si>
    <t>Rectangle panorama / OnScroll Bars 3D</t>
  </si>
  <si>
    <t>150 PLN</t>
  </si>
  <si>
    <t>Interactive Stories</t>
  </si>
  <si>
    <t>225 PLN</t>
  </si>
  <si>
    <t>Pakiet WPM Zasięg</t>
  </si>
  <si>
    <t>125 PLN</t>
  </si>
  <si>
    <t>80 PLN</t>
  </si>
  <si>
    <t>Pakiet WPM Zasięg Premium</t>
  </si>
  <si>
    <t>180 PLN</t>
  </si>
  <si>
    <t>175 PLN</t>
  </si>
  <si>
    <t>WIDEO</t>
  </si>
  <si>
    <r>
      <t>0,04 PLN (0,05 PLN</t>
    </r>
    <r>
      <rPr>
        <vertAlign val="superscript"/>
        <sz val="8"/>
        <color theme="4" tint="-0.249977111117893"/>
        <rFont val="Tahoma"/>
        <family val="2"/>
        <charset val="238"/>
      </rPr>
      <t>5</t>
    </r>
    <r>
      <rPr>
        <sz val="8"/>
        <color theme="4" tint="-0.249977111117893"/>
        <rFont val="Tahoma"/>
        <family val="2"/>
        <charset val="238"/>
      </rPr>
      <t>)</t>
    </r>
  </si>
  <si>
    <r>
      <t>0,05 PLN (0,06 PLN</t>
    </r>
    <r>
      <rPr>
        <vertAlign val="superscript"/>
        <sz val="8"/>
        <color theme="4" tint="-0.249977111117893"/>
        <rFont val="Tahoma"/>
        <family val="2"/>
        <charset val="238"/>
      </rPr>
      <t>5</t>
    </r>
    <r>
      <rPr>
        <sz val="8"/>
        <color theme="4" tint="-0.249977111117893"/>
        <rFont val="Tahoma"/>
        <family val="2"/>
        <charset val="238"/>
      </rPr>
      <t>)</t>
    </r>
  </si>
  <si>
    <r>
      <t>0,03 PLN (0,04 PLN</t>
    </r>
    <r>
      <rPr>
        <vertAlign val="superscript"/>
        <sz val="8"/>
        <color theme="4" tint="-0.249977111117893"/>
        <rFont val="Tahoma"/>
        <family val="2"/>
        <charset val="238"/>
      </rPr>
      <t>5</t>
    </r>
    <r>
      <rPr>
        <sz val="8"/>
        <color theme="4" tint="-0.249977111117893"/>
        <rFont val="Tahoma"/>
        <family val="2"/>
        <charset val="238"/>
      </rPr>
      <t>)</t>
    </r>
  </si>
  <si>
    <r>
      <t>33 PLN (43 PLN</t>
    </r>
    <r>
      <rPr>
        <vertAlign val="superscript"/>
        <sz val="8"/>
        <color theme="4" tint="-0.249977111117893"/>
        <rFont val="Tahoma"/>
        <family val="2"/>
        <charset val="238"/>
      </rPr>
      <t>5</t>
    </r>
    <r>
      <rPr>
        <sz val="8"/>
        <color theme="4" tint="-0.249977111117893"/>
        <rFont val="Tahoma"/>
        <family val="2"/>
        <charset val="238"/>
      </rPr>
      <t>)</t>
    </r>
  </si>
  <si>
    <r>
      <t>43 PLN (53 PLN</t>
    </r>
    <r>
      <rPr>
        <vertAlign val="superscript"/>
        <sz val="8"/>
        <color theme="4" tint="-0.249977111117893"/>
        <rFont val="Tahoma"/>
        <family val="2"/>
        <charset val="238"/>
      </rPr>
      <t>5</t>
    </r>
    <r>
      <rPr>
        <sz val="8"/>
        <color theme="4" tint="-0.249977111117893"/>
        <rFont val="Tahoma"/>
        <family val="2"/>
        <charset val="238"/>
      </rPr>
      <t>)</t>
    </r>
  </si>
  <si>
    <r>
      <t>30 PLN (40 PLN</t>
    </r>
    <r>
      <rPr>
        <vertAlign val="superscript"/>
        <sz val="8"/>
        <color theme="4" tint="-0.249977111117893"/>
        <rFont val="Tahoma"/>
        <family val="2"/>
        <charset val="238"/>
      </rPr>
      <t>5</t>
    </r>
    <r>
      <rPr>
        <sz val="8"/>
        <color theme="4" tint="-0.249977111117893"/>
        <rFont val="Tahoma"/>
        <family val="2"/>
        <charset val="238"/>
      </rPr>
      <t>)</t>
    </r>
  </si>
  <si>
    <r>
      <t>35 PLN (45 PLN</t>
    </r>
    <r>
      <rPr>
        <vertAlign val="superscript"/>
        <sz val="8"/>
        <color theme="4" tint="-0.249977111117893"/>
        <rFont val="Tahoma"/>
        <family val="2"/>
        <charset val="238"/>
      </rPr>
      <t>5</t>
    </r>
    <r>
      <rPr>
        <sz val="8"/>
        <color theme="4" tint="-0.249977111117893"/>
        <rFont val="Tahoma"/>
        <family val="2"/>
        <charset val="238"/>
      </rPr>
      <t>)</t>
    </r>
  </si>
  <si>
    <t>ARTYKUŁY SPONSOROWANE</t>
  </si>
  <si>
    <t>GWARANCJA UU¹</t>
  </si>
  <si>
    <t>2 000 UU</t>
  </si>
  <si>
    <t>4 000 PLN</t>
  </si>
  <si>
    <t>3 000 UU</t>
  </si>
  <si>
    <t>6 000 PLN</t>
  </si>
  <si>
    <t>4 000 UU</t>
  </si>
  <si>
    <t>8 000 PLN</t>
  </si>
  <si>
    <t>5 000 UU</t>
  </si>
  <si>
    <t>10 000 PLN</t>
  </si>
  <si>
    <t>bez gwarancji</t>
  </si>
  <si>
    <t>2 000 PLN</t>
  </si>
  <si>
    <t>Mazowieckie</t>
  </si>
  <si>
    <t>Pomorskie, Wielkopolskie, Śląskie</t>
  </si>
  <si>
    <t>Dolnośląskie, Małopolskie</t>
  </si>
  <si>
    <t>Kujawsko-Pomorskie, Lubelskie, Podkarpackie, Zachodniopomorskie, Łódzkie</t>
  </si>
  <si>
    <t>Lubuskie, Opolskie, Podlaskie, Warmińsko-mazurskie, Świętokrzyskie</t>
  </si>
  <si>
    <t>ARTYKUŁ NATYWNY</t>
  </si>
  <si>
    <t>10 000 UU</t>
  </si>
  <si>
    <t>12 500 UU</t>
  </si>
  <si>
    <t>2 x 10 000 UU</t>
  </si>
  <si>
    <t>2 x 12 500 UU</t>
  </si>
  <si>
    <t>3 x 10 000 UU</t>
  </si>
  <si>
    <t>3 x 12 500 UU</t>
  </si>
  <si>
    <t>4 x 10 000 UU</t>
  </si>
  <si>
    <t>4 x 12 500 UU</t>
  </si>
  <si>
    <t>Gwarancja UU¹</t>
  </si>
  <si>
    <t>Plotka natywna</t>
  </si>
  <si>
    <t>Miejsce emisji: Pudelek.pl SG + ROS</t>
  </si>
  <si>
    <t>15 000 UU</t>
  </si>
  <si>
    <t>25 000 PLN</t>
  </si>
  <si>
    <t>Listownik natywny</t>
  </si>
  <si>
    <t>Krótka treść natywna w formie listy, 100% mobile</t>
  </si>
  <si>
    <t>15 000 PLN</t>
  </si>
  <si>
    <t>Artykuł akapitowy</t>
  </si>
  <si>
    <t>Artykuł umożliwiający personalizację treści</t>
  </si>
  <si>
    <t>20 000 UU</t>
  </si>
  <si>
    <t>20 000 PLN</t>
  </si>
  <si>
    <t>QuickTip</t>
  </si>
  <si>
    <t>Treść edukacyjna odpowiadająca na pytanie JAK?</t>
  </si>
  <si>
    <t>13 000 PLN</t>
  </si>
  <si>
    <t>Artykuł interaktywny</t>
  </si>
  <si>
    <t>Krótka treść przedstawiona w formie slajdów ze zdjęciami</t>
  </si>
  <si>
    <t>18 000 PLN</t>
  </si>
  <si>
    <t>Respondo</t>
  </si>
  <si>
    <t>Treść natywna w formie quizu</t>
  </si>
  <si>
    <t>• Artykuł sponsorowany bez gwarancji jest promowany zajawką na SG serwisu. W serwisach PAKO, wpis spada w streamie treści. W pozostałych serwisach zajawka artykułu jest promowana przez 24h.</t>
  </si>
  <si>
    <t>+15%</t>
  </si>
  <si>
    <t>+100%</t>
  </si>
  <si>
    <t>+1%</t>
  </si>
  <si>
    <t>+75%</t>
  </si>
  <si>
    <t>+11.5%</t>
  </si>
  <si>
    <t>+15 PLN</t>
  </si>
  <si>
    <t>WPM Zasięg (bez stron głównych o2 i WP oraz serwisów pocztowych) - po wybranych standardowych segmentach WP DataPower</t>
  </si>
  <si>
    <t>WP SG, o2 SG - po wybranych standardowych segmentach WP DataPower</t>
  </si>
  <si>
    <t>DP Biznes, Dp Finanse, DP Ubezpieczenia</t>
  </si>
  <si>
    <t>DP Sport</t>
  </si>
  <si>
    <t>DP Motoryzacja</t>
  </si>
  <si>
    <t>DP Rozrywka, DP Zainteresowania</t>
  </si>
  <si>
    <t>DP Zakupy, DP Kuchnia, DP Lifestyle, DP Sportowcy, DP Turysyka</t>
  </si>
  <si>
    <t>DP Technologia, DP Gracze</t>
  </si>
  <si>
    <t>DP Zdrowie, DP Rodzina, DP Uroda,  DP Poszukujący lekarza</t>
  </si>
  <si>
    <t>WP Data Power Geotargetowanie, województwa, miasta, konkretna lokalizacja</t>
  </si>
  <si>
    <t>Persony użytkowników- składa się z kilku wybranych cech (segmentów). Aby użytkwonik trafił do profilu, musi spełnić wszystkie warunki - uzyskujemy pełny obraz użytkownika - obecnie 10 gotowych Person. Podsumowanie kampaniij z raportem Audience Discovery (wersja podstawowa i rozszerzona).</t>
  </si>
  <si>
    <t>Unikalne grupy dedykowane. Segmenty tworzymy pod konkretnego klienta lub konkretną kampanię.</t>
  </si>
  <si>
    <t>https://reklama.wp.pl/strefa-klienta</t>
  </si>
  <si>
    <t>Intencjonalna powierzchnia reklamowa wideo - odtworzenie materiału wideo jest inicjowane w sposób świadomy przez użytkownika np. poprzez kliknięcie w przycisk PLAY lub przejście z oznaczonej jako wideo zajawki materiału redakcyjnego zamieszczonej na innym serwisie. Spoty wideo emitowane w ramach powierzchni intencjonalnej charakeryzuje start z włączonym dźwiękiem.</t>
  </si>
  <si>
    <t>Intencjonalna powierzchnia reklamowa wideo</t>
  </si>
  <si>
    <t>Screening 1/uu + DBB/Wideboard 2/uu⁶</t>
  </si>
  <si>
    <t>Gigaboard 1/uu + DBB/Wideboard 2/uu⁶</t>
  </si>
  <si>
    <t>Screening 1/uu + DBB/Wideboard 5/uu⁶</t>
  </si>
  <si>
    <t>Gigaboard 1/uu + DBB/Wideboard 5/uu⁶</t>
  </si>
  <si>
    <t>Screening 1/uu + DBB/Wideboard FF⁶</t>
  </si>
  <si>
    <t>Gigaboard 1/uu + DBB/Wideboard FF⁶</t>
  </si>
  <si>
    <t>Site Takeover modułu Sport FF⁶: Content Box XL Sport + WP BOX + Halfpage⁵ + klikalne tło</t>
  </si>
  <si>
    <t>Site Takeover modułu Biznes FF⁶: Content Box XL Biznes + WP BOX desktop + Halfpage⁵ + klikalne tło</t>
  </si>
  <si>
    <t>Site Takeover modułu Gwiazdy FF⁶: Content Box XL Gwiazdy + Halfpage⁵ + Native Ad + klikalne tło</t>
  </si>
  <si>
    <t>Site Takeover modułu Moto&amp;Tech&amp;Gry FF⁶: Content Box XL + Halfpage⁵ + Native Ad + klikalne tło</t>
  </si>
  <si>
    <t>Site Takeover modułu Styl Życia FF⁶: Content Box XL + Halfpage⁵ + Native Ad + klikalne tło desktop</t>
  </si>
  <si>
    <t>Halfpage¹ ² ³ ⁶ (slot x03)</t>
  </si>
  <si>
    <t>Double Billboard/Wideboard 3/uu³</t>
  </si>
  <si>
    <t>Screening 1/uu + Double Billbard / Wideoboard 2/uu³</t>
  </si>
  <si>
    <t>Gigaboard 1/uu + Double Billboard/Wideboard 2/uu³</t>
  </si>
  <si>
    <t>Screening 1/uu + DBB/Wideboard 2/uu²</t>
  </si>
  <si>
    <t>Gigaboard 1/uu + Double Billboard/Wideboard 2/uu²</t>
  </si>
  <si>
    <t>Double Billboard / Wideboard 3/uu²</t>
  </si>
  <si>
    <t>Screening 1/uu + DBL/Wideboard 2/uu²</t>
  </si>
  <si>
    <t>Double Billboard / Wideboard²</t>
  </si>
  <si>
    <t>Mega Double Billboard²</t>
  </si>
  <si>
    <t>Screening 1/uu/dzień + DBL/Wideboard FF²</t>
  </si>
  <si>
    <t>Double Billboard/Halfpage 3/uu / dzień¹</t>
  </si>
  <si>
    <t>Halfpage¹ ² ³ ⁷ (slot x03)</t>
  </si>
  <si>
    <t>Rectangle⁷ (slot x05)</t>
  </si>
  <si>
    <t>Halfpage⁷ (slot x03)</t>
  </si>
  <si>
    <t>Native Ad (slot x20) FF</t>
  </si>
  <si>
    <t>Native Ad (slot x21) FF</t>
  </si>
  <si>
    <t>Content Box nad modułem Jak żyć (slot x15) FF³</t>
  </si>
  <si>
    <t>Content Box nad modułem Sport (slot x16) FF³</t>
  </si>
  <si>
    <t>Content Box w module Jak żyć (slot x15) FF³</t>
  </si>
  <si>
    <t>Content Box w module Sport (slot x16) FF³</t>
  </si>
  <si>
    <t>Money Box² (slot x34)</t>
  </si>
  <si>
    <t>Content Box¹ ² (slot x15)</t>
  </si>
  <si>
    <t>Rectangle² (slot x11)</t>
  </si>
  <si>
    <t>Content Box² (slot x15)</t>
  </si>
  <si>
    <t>Rectangle² (slot x05)</t>
  </si>
  <si>
    <t>MidBox³ (slot x62)</t>
  </si>
  <si>
    <t>Glonews FF (slot x08)</t>
  </si>
  <si>
    <t>MidBox FF (slot x62)</t>
  </si>
  <si>
    <t>Native Ad Moto&amp;Tech&amp;Gry (slot x23)</t>
  </si>
  <si>
    <t>Native Ad Styl Życia FF (slot x26)</t>
  </si>
  <si>
    <t>Native Ad Moto&amp;Tech&amp;Gry (slot x26)</t>
  </si>
  <si>
    <t>Native Ad Styl Życia FF (slot x25)</t>
  </si>
  <si>
    <t>Glonews (slot x08)</t>
  </si>
  <si>
    <t>Halfpage¹ (slot x37)</t>
  </si>
  <si>
    <t>MidBox¹ (slot x062)</t>
  </si>
  <si>
    <t>O2 Box¹ (slot x34)</t>
  </si>
  <si>
    <t>Top Banner¹ (slot x09)</t>
  </si>
  <si>
    <t>Logout Box⁴</t>
  </si>
  <si>
    <t>Halfpage w WP live³ ⁴</t>
  </si>
  <si>
    <t>WP Box w module Wiadomości FF⁴</t>
  </si>
  <si>
    <t>WP Box w module Sport FF⁴</t>
  </si>
  <si>
    <t>WP Box w module Biznes FF⁴</t>
  </si>
  <si>
    <t>3xuu / tydzień</t>
  </si>
  <si>
    <t>benchmark.pl</t>
  </si>
  <si>
    <r>
      <t>3x100 InStream Video Ad (net net)</t>
    </r>
    <r>
      <rPr>
        <b/>
        <vertAlign val="superscript"/>
        <sz val="10"/>
        <color theme="0"/>
        <rFont val="Tahoma"/>
        <family val="2"/>
      </rPr>
      <t>1, 2</t>
    </r>
  </si>
  <si>
    <r>
      <rPr>
        <vertAlign val="superscript"/>
        <sz val="8"/>
        <color theme="1"/>
        <rFont val="Tahoma"/>
        <family val="2"/>
        <charset val="238"/>
      </rPr>
      <t>1</t>
    </r>
    <r>
      <rPr>
        <sz val="8"/>
        <color theme="1"/>
        <rFont val="Tahoma"/>
        <family val="2"/>
      </rPr>
      <t xml:space="preserve"> Rozliczenie po statystykach wewnętrznych WPM, 100% widoczności playera przez minimum 2 sekundy. W przypadku mierzenia kodami zewnętrznymi dopłata do ceny bazowej +30%.</t>
    </r>
  </si>
  <si>
    <r>
      <rPr>
        <vertAlign val="superscript"/>
        <sz val="8"/>
        <color theme="1"/>
        <rFont val="Tahoma"/>
        <family val="2"/>
        <charset val="238"/>
      </rPr>
      <t>2</t>
    </r>
    <r>
      <rPr>
        <sz val="8"/>
        <color theme="1"/>
        <rFont val="Tahoma"/>
        <family val="2"/>
        <charset val="238"/>
      </rPr>
      <t xml:space="preserve"> 3x100: 100% widzialne, 100% obejrzane do końca, 100% niepominięte</t>
    </r>
  </si>
  <si>
    <r>
      <t>Instream Video Ad CPV (net net)</t>
    </r>
    <r>
      <rPr>
        <b/>
        <vertAlign val="superscript"/>
        <sz val="10"/>
        <color theme="0"/>
        <rFont val="Tahoma"/>
        <family val="2"/>
      </rPr>
      <t>3</t>
    </r>
  </si>
  <si>
    <r>
      <rPr>
        <vertAlign val="superscript"/>
        <sz val="8"/>
        <color theme="1"/>
        <rFont val="Tahoma"/>
        <family val="2"/>
        <charset val="238"/>
      </rPr>
      <t>3</t>
    </r>
    <r>
      <rPr>
        <sz val="8"/>
        <color theme="1"/>
        <rFont val="Tahoma"/>
        <family val="2"/>
        <charset val="238"/>
      </rPr>
      <t xml:space="preserve"> CPV: rozliczenie za 100% odtworzone do końca</t>
    </r>
  </si>
  <si>
    <r>
      <t>Instream Video Ad vCPM (net net)</t>
    </r>
    <r>
      <rPr>
        <b/>
        <vertAlign val="superscript"/>
        <sz val="10"/>
        <color theme="0"/>
        <rFont val="Tahoma"/>
        <family val="2"/>
      </rPr>
      <t>4</t>
    </r>
  </si>
  <si>
    <r>
      <rPr>
        <vertAlign val="superscript"/>
        <sz val="8"/>
        <color theme="1"/>
        <rFont val="Tahoma"/>
        <family val="2"/>
        <charset val="238"/>
      </rPr>
      <t>4</t>
    </r>
    <r>
      <rPr>
        <sz val="8"/>
        <color theme="1"/>
        <rFont val="Tahoma"/>
        <family val="2"/>
        <charset val="238"/>
      </rPr>
      <t xml:space="preserve"> vCPM: rozliczenie za 100% widzialne</t>
    </r>
  </si>
  <si>
    <r>
      <t>3x100 InStream Video Ad (net net)</t>
    </r>
    <r>
      <rPr>
        <b/>
        <vertAlign val="superscript"/>
        <sz val="10"/>
        <color theme="0"/>
        <rFont val="Tahoma"/>
        <family val="2"/>
      </rPr>
      <t>4, 5</t>
    </r>
  </si>
  <si>
    <r>
      <rPr>
        <vertAlign val="superscript"/>
        <sz val="8"/>
        <color theme="1"/>
        <rFont val="Tahoma"/>
        <family val="2"/>
        <charset val="238"/>
      </rPr>
      <t>5</t>
    </r>
    <r>
      <rPr>
        <sz val="8"/>
        <color theme="1"/>
        <rFont val="Tahoma"/>
        <family val="2"/>
        <charset val="238"/>
      </rPr>
      <t xml:space="preserve"> 3x100: 100% widzialne, 100% obejrzane do końca, 100% niepominięte</t>
    </r>
  </si>
  <si>
    <r>
      <t>Instream Video Ad CPV (net net)</t>
    </r>
    <r>
      <rPr>
        <b/>
        <vertAlign val="superscript"/>
        <sz val="10"/>
        <color theme="0"/>
        <rFont val="Tahoma"/>
        <family val="2"/>
      </rPr>
      <t>6</t>
    </r>
  </si>
  <si>
    <r>
      <rPr>
        <vertAlign val="superscript"/>
        <sz val="8"/>
        <color theme="1"/>
        <rFont val="Tahoma"/>
        <family val="2"/>
        <charset val="238"/>
      </rPr>
      <t>6</t>
    </r>
    <r>
      <rPr>
        <sz val="8"/>
        <color theme="1"/>
        <rFont val="Tahoma"/>
        <family val="2"/>
        <charset val="238"/>
      </rPr>
      <t xml:space="preserve"> CPV: rozliczenie za 100% odtworzone do końca</t>
    </r>
  </si>
  <si>
    <r>
      <t>Instream Video Ad vCPM (net net)</t>
    </r>
    <r>
      <rPr>
        <b/>
        <vertAlign val="superscript"/>
        <sz val="10"/>
        <color theme="0"/>
        <rFont val="Tahoma"/>
        <family val="2"/>
      </rPr>
      <t>7</t>
    </r>
  </si>
  <si>
    <r>
      <rPr>
        <vertAlign val="superscript"/>
        <sz val="8"/>
        <color theme="1"/>
        <rFont val="Tahoma"/>
        <family val="2"/>
        <charset val="238"/>
      </rPr>
      <t>7</t>
    </r>
    <r>
      <rPr>
        <sz val="8"/>
        <color theme="1"/>
        <rFont val="Tahoma"/>
        <family val="2"/>
        <charset val="238"/>
      </rPr>
      <t xml:space="preserve"> vCPM: rozliczenie za 100% widzialne</t>
    </r>
  </si>
  <si>
    <t>Vibez.pl</t>
  </si>
  <si>
    <t>pysznosci.pl</t>
  </si>
  <si>
    <t>genialne.pl</t>
  </si>
  <si>
    <t>jastrzabpost.pl</t>
  </si>
  <si>
    <t>Benchmark.pl</t>
  </si>
  <si>
    <t>Autocentrum.pl</t>
  </si>
  <si>
    <t>WP Tech, benchmark.pl, dobreprogramy.pl, Komórkomania, Gadżetomania, Fotoblogia, Polygamia</t>
  </si>
  <si>
    <t>⁷ Forma reklamowa Sticky Ads mobile dostępna w widoku artykułowym na serwisach: Serwisy Premium, abczdrowie.pl, money.pl, parenting.pl, sportowefakty.wp.pl, tv.wp.pl, autocentrum.pl, autokult.pl, gadzetomania.pl, genialne.pl, jastrzabpost.pl, komorkomania.pl, fotoblogia.pl, kafeteria.pl, pysznosci.pl</t>
  </si>
  <si>
    <t>Czy wiesz, że kampanie w WP są zeroemisyjne?
Dowiedz się więcej</t>
  </si>
  <si>
    <t>Gigboard 3/uu</t>
  </si>
  <si>
    <t>Rectangle 3/uu (slot x05)</t>
  </si>
  <si>
    <t>¹ Pakiet Gigazasięg obejmuje emisję łączną na: SG WP, SG O2+ROS O2, Poczta WP i Poczta O2</t>
  </si>
  <si>
    <t>sty-wrz</t>
  </si>
  <si>
    <t>paź-gru</t>
  </si>
  <si>
    <t>Rectangle górny w listingu na Poczcie</t>
  </si>
  <si>
    <t>Rectangle dolny w listingu na Poczcie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</si>
</sst>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0\ &quot;zł&quot;;[Red]\-#,##0\ &quot;zł&quot;"/>
    <numFmt numFmtId="44" formatCode="_-* #,##0.00\ &quot;zł&quot;_-;\-* #,##0.00\ &quot;zł&quot;_-;_-* &quot;-&quot;??\ &quot;zł&quot;_-;_-@_-"/>
    <numFmt numFmtId="164" formatCode="_-* #,##0.00\ _z_ł_-;\-* #,##0.00\ _z_ł_-;_-* &quot;-&quot;??\ _z_ł_-;_-@_-"/>
    <numFmt numFmtId="165" formatCode="#,##0.00\ &quot;zł&quot;"/>
    <numFmt numFmtId="166" formatCode="#,##0\ &quot;zł&quot;"/>
    <numFmt numFmtId="167" formatCode="#,##0.0\ &quot;zł&quot;"/>
    <numFmt numFmtId="168" formatCode="#,##0%"/>
    <numFmt numFmtId="169" formatCode="#,##0&quot; &quot;[$zł-415]"/>
    <numFmt numFmtId="170" formatCode="#,##0\ [$PLN]"/>
    <numFmt numFmtId="171" formatCode="#,##0\ [$PLN];[Red]\-#,##0\ [$PLN]"/>
    <numFmt numFmtId="172" formatCode="#,##0.00\ [$PLN]"/>
  </numFmts>
  <fonts count="90">
    <font>
      <sz val="11"/>
      <color theme="1"/>
      <name val="Calibri"/>
      <family val="2"/>
      <charset val="238"/>
      <scheme val="minor"/>
    </font>
    <font>
      <b/>
      <sz val="10"/>
      <color indexed="8"/>
      <name val="Tahoma"/>
      <family val="2"/>
    </font>
    <font>
      <sz val="10"/>
      <color indexed="8"/>
      <name val="Tahoma"/>
      <family val="2"/>
    </font>
    <font>
      <sz val="10"/>
      <name val="Tahoma"/>
      <family val="2"/>
    </font>
    <font>
      <b/>
      <sz val="8"/>
      <color indexed="8"/>
      <name val="Tahoma"/>
      <family val="2"/>
    </font>
    <font>
      <b/>
      <sz val="10"/>
      <name val="Calibri"/>
      <family val="2"/>
    </font>
    <font>
      <sz val="10"/>
      <name val="Calibri"/>
      <family val="2"/>
    </font>
    <font>
      <sz val="10"/>
      <name val="Arial"/>
      <family val="2"/>
    </font>
    <font>
      <b/>
      <sz val="10"/>
      <name val="Arial"/>
      <family val="2"/>
    </font>
    <font>
      <sz val="11"/>
      <color indexed="8"/>
      <name val="Helvetica Neue"/>
    </font>
    <font>
      <sz val="10"/>
      <color indexed="8"/>
      <name val="Arial"/>
      <family val="2"/>
    </font>
    <font>
      <b/>
      <sz val="10"/>
      <color indexed="9"/>
      <name val="Tahoma"/>
      <family val="2"/>
    </font>
    <font>
      <sz val="11"/>
      <color indexed="8"/>
      <name val="Trebuchet MS"/>
      <family val="2"/>
    </font>
    <font>
      <sz val="12"/>
      <color indexed="8"/>
      <name val="Verdana"/>
      <family val="2"/>
    </font>
    <font>
      <sz val="12"/>
      <color indexed="8"/>
      <name val="Verdana"/>
      <family val="2"/>
    </font>
    <font>
      <sz val="12"/>
      <color indexed="8"/>
      <name val="Verdana"/>
      <family val="2"/>
      <charset val="238"/>
    </font>
    <font>
      <sz val="8"/>
      <color indexed="8"/>
      <name val="Tahoma"/>
      <family val="2"/>
    </font>
    <font>
      <sz val="8"/>
      <color indexed="8"/>
      <name val="Tahoma"/>
      <family val="2"/>
      <charset val="238"/>
    </font>
    <font>
      <sz val="8"/>
      <name val="Tahoma"/>
      <family val="2"/>
    </font>
    <font>
      <b/>
      <sz val="8"/>
      <color indexed="9"/>
      <name val="Tahoma"/>
      <family val="2"/>
    </font>
    <font>
      <b/>
      <sz val="8"/>
      <name val="Tahoma"/>
      <family val="2"/>
    </font>
    <font>
      <sz val="8"/>
      <name val="Tahoma"/>
      <family val="2"/>
      <charset val="238"/>
    </font>
    <font>
      <sz val="11"/>
      <color theme="1"/>
      <name val="Calibri"/>
      <family val="2"/>
      <charset val="238"/>
      <scheme val="minor"/>
    </font>
    <font>
      <sz val="11"/>
      <color theme="1"/>
      <name val="Calibri"/>
      <family val="2"/>
      <scheme val="minor"/>
    </font>
    <font>
      <u/>
      <sz val="11"/>
      <color theme="10"/>
      <name val="Calibri"/>
      <family val="2"/>
      <charset val="238"/>
      <scheme val="minor"/>
    </font>
    <font>
      <u/>
      <sz val="11"/>
      <color theme="10"/>
      <name val="Calibri"/>
      <family val="2"/>
      <scheme val="minor"/>
    </font>
    <font>
      <sz val="10"/>
      <color rgb="FF000000"/>
      <name val="Arial"/>
      <family val="2"/>
      <charset val="238"/>
    </font>
    <font>
      <b/>
      <sz val="11"/>
      <color theme="1"/>
      <name val="Calibri"/>
      <family val="2"/>
      <charset val="238"/>
      <scheme val="minor"/>
    </font>
    <font>
      <sz val="10"/>
      <color theme="1"/>
      <name val="Tahoma"/>
      <family val="2"/>
    </font>
    <font>
      <sz val="10"/>
      <color rgb="FF000000"/>
      <name val="Tahoma"/>
      <family val="2"/>
    </font>
    <font>
      <b/>
      <sz val="10"/>
      <color theme="0"/>
      <name val="Tahoma"/>
      <family val="2"/>
    </font>
    <font>
      <b/>
      <sz val="10"/>
      <color rgb="FFFFFFFF"/>
      <name val="Tahoma"/>
      <family val="2"/>
    </font>
    <font>
      <sz val="8"/>
      <color theme="1"/>
      <name val="Tahoma"/>
      <family val="2"/>
    </font>
    <font>
      <b/>
      <sz val="10"/>
      <color theme="1"/>
      <name val="Tahoma"/>
      <family val="2"/>
    </font>
    <font>
      <sz val="12"/>
      <color theme="1"/>
      <name val="Tahoma"/>
      <family val="2"/>
    </font>
    <font>
      <sz val="11"/>
      <color indexed="8"/>
      <name val="Calibri"/>
      <family val="2"/>
      <scheme val="minor"/>
    </font>
    <font>
      <sz val="10"/>
      <color rgb="FF1F497D"/>
      <name val="Tahoma"/>
      <family val="2"/>
    </font>
    <font>
      <b/>
      <sz val="10"/>
      <color theme="5"/>
      <name val="Tahoma"/>
      <family val="2"/>
    </font>
    <font>
      <sz val="10"/>
      <color theme="5"/>
      <name val="Tahoma"/>
      <family val="2"/>
    </font>
    <font>
      <sz val="10"/>
      <color theme="0"/>
      <name val="Tahoma"/>
      <family val="2"/>
    </font>
    <font>
      <sz val="10"/>
      <color theme="1"/>
      <name val="Tahoma"/>
      <family val="2"/>
      <charset val="238"/>
    </font>
    <font>
      <b/>
      <sz val="10"/>
      <color rgb="FF002060"/>
      <name val="Tahoma"/>
      <family val="2"/>
    </font>
    <font>
      <sz val="10"/>
      <color theme="0" tint="-0.14999847407452621"/>
      <name val="Tahoma"/>
      <family val="2"/>
    </font>
    <font>
      <b/>
      <sz val="8"/>
      <color theme="0"/>
      <name val="Tahoma"/>
      <family val="2"/>
    </font>
    <font>
      <b/>
      <sz val="10"/>
      <color theme="1"/>
      <name val="Tahoma"/>
      <family val="2"/>
      <charset val="238"/>
    </font>
    <font>
      <sz val="8"/>
      <color theme="1"/>
      <name val="Tahoma"/>
      <family val="2"/>
      <charset val="238"/>
    </font>
    <font>
      <sz val="8"/>
      <color rgb="FFC00000"/>
      <name val="Tahoma"/>
      <family val="2"/>
    </font>
    <font>
      <b/>
      <sz val="8"/>
      <color theme="1"/>
      <name val="Tahoma"/>
      <family val="2"/>
    </font>
    <font>
      <sz val="8"/>
      <color rgb="FF000000"/>
      <name val="Tahoma"/>
      <family val="2"/>
    </font>
    <font>
      <b/>
      <sz val="8"/>
      <color theme="0"/>
      <name val="Tahoma"/>
      <family val="2"/>
      <charset val="238"/>
    </font>
    <font>
      <sz val="8"/>
      <color theme="0"/>
      <name val="Tahoma"/>
      <family val="2"/>
    </font>
    <font>
      <sz val="12"/>
      <color theme="1"/>
      <name val="Tahoma"/>
      <family val="2"/>
      <charset val="238"/>
    </font>
    <font>
      <i/>
      <sz val="8"/>
      <color theme="1"/>
      <name val="Tahoma"/>
      <family val="2"/>
      <charset val="238"/>
    </font>
    <font>
      <b/>
      <sz val="8"/>
      <color theme="1"/>
      <name val="Tahoma"/>
      <family val="2"/>
      <charset val="238"/>
    </font>
    <font>
      <sz val="11"/>
      <color rgb="FF1F497D"/>
      <name val="Corbel"/>
      <family val="2"/>
      <charset val="238"/>
    </font>
    <font>
      <b/>
      <sz val="8"/>
      <color indexed="8"/>
      <name val="Tahoma"/>
      <family val="2"/>
      <charset val="238"/>
    </font>
    <font>
      <b/>
      <sz val="8"/>
      <name val="Tahoma"/>
      <family val="2"/>
      <charset val="238"/>
    </font>
    <font>
      <sz val="9"/>
      <color indexed="81"/>
      <name val="Tahoma"/>
      <family val="2"/>
      <charset val="238"/>
    </font>
    <font>
      <b/>
      <sz val="9"/>
      <color indexed="81"/>
      <name val="Tahoma"/>
      <family val="2"/>
      <charset val="238"/>
    </font>
    <font>
      <vertAlign val="superscript"/>
      <sz val="8"/>
      <color theme="1"/>
      <name val="Tahoma"/>
      <family val="2"/>
      <charset val="238"/>
    </font>
    <font>
      <sz val="8"/>
      <color theme="0" tint="-0.499984740745262"/>
      <name val="Tahoma"/>
      <family val="2"/>
    </font>
    <font>
      <sz val="8"/>
      <color theme="0" tint="-0.499984740745262"/>
      <name val="Tahoma"/>
      <family val="2"/>
      <charset val="238"/>
    </font>
    <font>
      <sz val="10"/>
      <color theme="0" tint="-0.499984740745262"/>
      <name val="Tahoma"/>
      <family val="2"/>
    </font>
    <font>
      <sz val="11"/>
      <color theme="0" tint="-0.499984740745262"/>
      <name val="Calibri"/>
      <family val="2"/>
      <charset val="238"/>
      <scheme val="minor"/>
    </font>
    <font>
      <sz val="10"/>
      <color theme="0" tint="-0.499984740745262"/>
      <name val="Arial"/>
      <family val="2"/>
    </font>
    <font>
      <sz val="8"/>
      <color theme="4" tint="-0.249977111117893"/>
      <name val="Tahoma"/>
      <family val="2"/>
    </font>
    <font>
      <sz val="8"/>
      <color theme="4" tint="-0.249977111117893"/>
      <name val="Tahoma"/>
      <family val="2"/>
      <charset val="238"/>
    </font>
    <font>
      <vertAlign val="superscript"/>
      <sz val="8"/>
      <color theme="4" tint="-0.249977111117893"/>
      <name val="Tahoma"/>
      <family val="2"/>
      <charset val="238"/>
    </font>
    <font>
      <b/>
      <sz val="10"/>
      <color theme="0"/>
      <name val="Tahoma"/>
      <family val="2"/>
      <charset val="238"/>
    </font>
    <font>
      <sz val="10"/>
      <name val="Tahoma"/>
      <family val="2"/>
      <charset val="238"/>
    </font>
    <font>
      <sz val="8"/>
      <color theme="3"/>
      <name val="Tahoma"/>
      <family val="2"/>
      <charset val="238"/>
    </font>
    <font>
      <sz val="8"/>
      <color theme="3"/>
      <name val="Tahoma"/>
      <family val="2"/>
    </font>
    <font>
      <sz val="12"/>
      <color theme="1"/>
      <name val="Times New Roman"/>
      <family val="1"/>
      <charset val="238"/>
    </font>
    <font>
      <i/>
      <sz val="8"/>
      <color theme="1"/>
      <name val="Tahoma"/>
      <family val="2"/>
    </font>
    <font>
      <b/>
      <sz val="10"/>
      <color theme="0" tint="-0.14999847407452621"/>
      <name val="Tahoma"/>
      <family val="2"/>
    </font>
    <font>
      <b/>
      <sz val="10"/>
      <color theme="4" tint="-0.249977111117893"/>
      <name val="Tahoma"/>
      <family val="2"/>
    </font>
    <font>
      <b/>
      <sz val="10"/>
      <color theme="0" tint="-4.9989318521683403E-2"/>
      <name val="Tahoma"/>
      <family val="2"/>
      <charset val="238"/>
    </font>
    <font>
      <b/>
      <vertAlign val="superscript"/>
      <sz val="10"/>
      <color theme="0"/>
      <name val="Tahoma"/>
      <family val="2"/>
      <charset val="238"/>
    </font>
    <font>
      <b/>
      <sz val="10"/>
      <color theme="0" tint="-0.249977111117893"/>
      <name val="Tahoma"/>
      <family val="2"/>
      <charset val="238"/>
    </font>
    <font>
      <sz val="10"/>
      <color indexed="8"/>
      <name val="Arial"/>
      <family val="2"/>
      <charset val="238"/>
    </font>
    <font>
      <b/>
      <vertAlign val="superscript"/>
      <sz val="10"/>
      <color theme="0"/>
      <name val="Tahoma"/>
      <family val="2"/>
    </font>
    <font>
      <b/>
      <sz val="10"/>
      <color theme="0" tint="-4.9989318521683403E-2"/>
      <name val="Tahoma"/>
      <family val="2"/>
    </font>
    <font>
      <b/>
      <sz val="8"/>
      <color rgb="FFFF0000"/>
      <name val="Tahoma"/>
      <family val="2"/>
      <charset val="238"/>
    </font>
    <font>
      <b/>
      <sz val="10"/>
      <color theme="3" tint="-0.499984740745262"/>
      <name val="Tahoma"/>
      <family val="2"/>
    </font>
    <font>
      <sz val="8"/>
      <color theme="0"/>
      <name val="Tahoma"/>
      <family val="2"/>
      <charset val="238"/>
    </font>
    <font>
      <b/>
      <vertAlign val="superscript"/>
      <sz val="10"/>
      <color theme="0" tint="-4.9989318521683403E-2"/>
      <name val="Tahoma"/>
      <family val="2"/>
      <charset val="238"/>
    </font>
    <font>
      <u/>
      <sz val="10"/>
      <color theme="10"/>
      <name val="Calibri"/>
      <family val="2"/>
      <charset val="238"/>
      <scheme val="minor"/>
    </font>
    <font>
      <b/>
      <sz val="10"/>
      <color rgb="FFFF0000"/>
      <name val="Tahoma"/>
      <family val="2"/>
    </font>
    <font>
      <sz val="10"/>
      <color rgb="FFFF0000"/>
      <name val="Tahoma"/>
      <family val="2"/>
    </font>
    <font>
      <b/>
      <sz val="10"/>
      <color theme="0" tint="-0.249977111117893"/>
      <name val="Tahoma"/>
      <family val="2"/>
    </font>
  </fonts>
  <fills count="34">
    <fill>
      <patternFill patternType="none"/>
    </fill>
    <fill>
      <patternFill patternType="gray125"/>
    </fill>
    <fill>
      <patternFill patternType="solid">
        <fgColor indexed="9"/>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indexed="31"/>
      </patternFill>
    </fill>
    <fill>
      <patternFill patternType="solid">
        <fgColor theme="0"/>
        <bgColor indexed="26"/>
      </patternFill>
    </fill>
    <fill>
      <patternFill patternType="solid">
        <fgColor theme="0"/>
        <bgColor indexed="44"/>
      </patternFill>
    </fill>
    <fill>
      <patternFill patternType="solid">
        <fgColor rgb="FFC00000"/>
        <bgColor indexed="64"/>
      </patternFill>
    </fill>
    <fill>
      <patternFill patternType="solid">
        <fgColor rgb="FFFFFFFF"/>
        <bgColor indexed="64"/>
      </patternFill>
    </fill>
    <fill>
      <patternFill patternType="solid">
        <fgColor theme="0"/>
        <bgColor indexed="27"/>
      </patternFill>
    </fill>
    <fill>
      <patternFill patternType="solid">
        <fgColor theme="0"/>
        <bgColor indexed="9"/>
      </patternFill>
    </fill>
    <fill>
      <patternFill patternType="solid">
        <fgColor theme="0" tint="-4.9989318521683403E-2"/>
        <bgColor indexed="64"/>
      </patternFill>
    </fill>
    <fill>
      <patternFill patternType="solid">
        <fgColor rgb="FF00A249"/>
        <bgColor indexed="64"/>
      </patternFill>
    </fill>
    <fill>
      <patternFill patternType="solid">
        <fgColor rgb="FFC00000"/>
        <bgColor theme="0"/>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DC92CC"/>
        <bgColor indexed="64"/>
      </patternFill>
    </fill>
    <fill>
      <patternFill patternType="solid">
        <fgColor rgb="FF7030A0"/>
        <bgColor indexed="64"/>
      </patternFill>
    </fill>
    <fill>
      <patternFill patternType="solid">
        <fgColor theme="4" tint="0.79998168889431442"/>
        <bgColor indexed="64"/>
      </patternFill>
    </fill>
    <fill>
      <patternFill patternType="solid">
        <fgColor rgb="FF635AD8"/>
        <bgColor indexed="64"/>
      </patternFill>
    </fill>
    <fill>
      <patternFill patternType="lightUp">
        <fgColor theme="0" tint="-0.14996795556505021"/>
        <bgColor theme="0"/>
      </patternFill>
    </fill>
    <fill>
      <patternFill patternType="lightUp">
        <fgColor theme="0" tint="-0.14996795556505021"/>
        <bgColor indexed="65"/>
      </patternFill>
    </fill>
    <fill>
      <patternFill patternType="solid">
        <fgColor theme="0" tint="-0.14999847407452621"/>
        <bgColor indexed="26"/>
      </patternFill>
    </fill>
    <fill>
      <patternFill patternType="solid">
        <fgColor rgb="FF00B050"/>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0" tint="-4.9989318521683403E-2"/>
        <bgColor indexed="26"/>
      </patternFill>
    </fill>
    <fill>
      <patternFill patternType="solid">
        <fgColor theme="5" tint="0.79998168889431442"/>
        <bgColor indexed="64"/>
      </patternFill>
    </fill>
    <fill>
      <patternFill patternType="solid">
        <fgColor theme="5"/>
        <bgColor indexed="64"/>
      </patternFill>
    </fill>
    <fill>
      <patternFill patternType="solid">
        <fgColor rgb="FFFFFFFF"/>
        <bgColor rgb="FF000000"/>
      </patternFill>
    </fill>
    <fill>
      <patternFill patternType="solid">
        <fgColor rgb="FF005828"/>
        <bgColor indexed="64"/>
      </patternFill>
    </fill>
  </fills>
  <borders count="178">
    <border>
      <left/>
      <right/>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thin">
        <color indexed="64"/>
      </top>
      <bottom/>
      <diagonal/>
    </border>
    <border>
      <left/>
      <right style="thin">
        <color rgb="FFC00000"/>
      </right>
      <top/>
      <bottom/>
      <diagonal/>
    </border>
    <border>
      <left/>
      <right/>
      <top/>
      <bottom style="thin">
        <color rgb="FFC00000"/>
      </bottom>
      <diagonal/>
    </border>
    <border>
      <left/>
      <right style="thin">
        <color theme="0" tint="-4.9989318521683403E-2"/>
      </right>
      <top/>
      <bottom/>
      <diagonal/>
    </border>
    <border>
      <left/>
      <right style="thin">
        <color theme="0" tint="-4.9989318521683403E-2"/>
      </right>
      <top style="thin">
        <color indexed="64"/>
      </top>
      <bottom/>
      <diagonal/>
    </border>
    <border>
      <left/>
      <right/>
      <top style="thin">
        <color rgb="FFC00000"/>
      </top>
      <bottom/>
      <diagonal/>
    </border>
    <border>
      <left/>
      <right style="thin">
        <color rgb="FFC00000"/>
      </right>
      <top style="thin">
        <color rgb="FFC00000"/>
      </top>
      <bottom/>
      <diagonal/>
    </border>
    <border>
      <left/>
      <right/>
      <top style="thin">
        <color theme="0"/>
      </top>
      <bottom style="thin">
        <color theme="0"/>
      </bottom>
      <diagonal/>
    </border>
    <border>
      <left/>
      <right style="thin">
        <color rgb="FF00B050"/>
      </right>
      <top/>
      <bottom/>
      <diagonal/>
    </border>
    <border>
      <left/>
      <right style="thin">
        <color theme="1"/>
      </right>
      <top/>
      <bottom style="thin">
        <color indexed="64"/>
      </bottom>
      <diagonal/>
    </border>
    <border>
      <left/>
      <right/>
      <top style="thin">
        <color theme="4" tint="0.79998168889431442"/>
      </top>
      <bottom/>
      <diagonal/>
    </border>
    <border>
      <left/>
      <right style="thin">
        <color rgb="FFC00000"/>
      </right>
      <top/>
      <bottom style="thin">
        <color rgb="FFC00000"/>
      </bottom>
      <diagonal/>
    </border>
    <border>
      <left style="thin">
        <color rgb="FFC00000"/>
      </left>
      <right style="thin">
        <color rgb="FFC00000"/>
      </right>
      <top/>
      <bottom/>
      <diagonal/>
    </border>
    <border>
      <left/>
      <right style="thin">
        <color rgb="FFC00000"/>
      </right>
      <top/>
      <bottom style="thin">
        <color theme="0"/>
      </bottom>
      <diagonal/>
    </border>
    <border>
      <left style="thin">
        <color rgb="FFC00000"/>
      </left>
      <right style="thin">
        <color rgb="FFC00000"/>
      </right>
      <top/>
      <bottom style="thin">
        <color theme="0"/>
      </bottom>
      <diagonal/>
    </border>
    <border>
      <left style="thin">
        <color rgb="FFC00000"/>
      </left>
      <right/>
      <top/>
      <bottom style="thin">
        <color theme="0"/>
      </bottom>
      <diagonal/>
    </border>
    <border>
      <left/>
      <right/>
      <top style="thin">
        <color theme="0"/>
      </top>
      <bottom style="thin">
        <color rgb="FFC00000"/>
      </bottom>
      <diagonal/>
    </border>
    <border>
      <left/>
      <right/>
      <top/>
      <bottom style="thin">
        <color theme="0"/>
      </bottom>
      <diagonal/>
    </border>
    <border>
      <left/>
      <right style="thin">
        <color theme="2"/>
      </right>
      <top/>
      <bottom/>
      <diagonal/>
    </border>
    <border>
      <left/>
      <right style="thin">
        <color indexed="64"/>
      </right>
      <top style="thin">
        <color theme="0"/>
      </top>
      <bottom style="thin">
        <color indexed="64"/>
      </bottom>
      <diagonal/>
    </border>
    <border>
      <left/>
      <right style="thin">
        <color indexed="64"/>
      </right>
      <top/>
      <bottom style="thin">
        <color theme="0"/>
      </bottom>
      <diagonal/>
    </border>
    <border>
      <left/>
      <right style="thin">
        <color theme="5" tint="0.39997558519241921"/>
      </right>
      <top/>
      <bottom/>
      <diagonal/>
    </border>
    <border>
      <left/>
      <right style="thin">
        <color rgb="FF7030A0"/>
      </right>
      <top/>
      <bottom/>
      <diagonal/>
    </border>
    <border>
      <left/>
      <right style="thin">
        <color rgb="FF7030A0"/>
      </right>
      <top/>
      <bottom style="thin">
        <color theme="7" tint="-0.249977111117893"/>
      </bottom>
      <diagonal/>
    </border>
    <border>
      <left/>
      <right/>
      <top/>
      <bottom style="thin">
        <color theme="7" tint="-0.249977111117893"/>
      </bottom>
      <diagonal/>
    </border>
    <border>
      <left/>
      <right/>
      <top style="thin">
        <color rgb="FFC00000"/>
      </top>
      <bottom style="thin">
        <color theme="0"/>
      </bottom>
      <diagonal/>
    </border>
    <border>
      <left/>
      <right style="thin">
        <color rgb="FFC00000"/>
      </right>
      <top style="thin">
        <color rgb="FFC00000"/>
      </top>
      <bottom style="thin">
        <color theme="0"/>
      </bottom>
      <diagonal/>
    </border>
    <border>
      <left style="thin">
        <color rgb="FFC00000"/>
      </left>
      <right/>
      <top/>
      <bottom/>
      <diagonal/>
    </border>
    <border>
      <left style="thin">
        <color rgb="FFC00000"/>
      </left>
      <right/>
      <top style="thin">
        <color rgb="FFC00000"/>
      </top>
      <bottom/>
      <diagonal/>
    </border>
    <border>
      <left style="thin">
        <color theme="2"/>
      </left>
      <right/>
      <top/>
      <bottom/>
      <diagonal/>
    </border>
    <border>
      <left style="thin">
        <color theme="2"/>
      </left>
      <right/>
      <top style="thin">
        <color rgb="FFC00000"/>
      </top>
      <bottom/>
      <diagonal/>
    </border>
    <border>
      <left/>
      <right style="thin">
        <color theme="2"/>
      </right>
      <top style="thin">
        <color rgb="FFC00000"/>
      </top>
      <bottom/>
      <diagonal/>
    </border>
    <border>
      <left/>
      <right/>
      <top style="thin">
        <color theme="0"/>
      </top>
      <bottom/>
      <diagonal/>
    </border>
    <border>
      <left/>
      <right/>
      <top style="thin">
        <color indexed="64"/>
      </top>
      <bottom style="thin">
        <color theme="0"/>
      </bottom>
      <diagonal/>
    </border>
    <border>
      <left style="thin">
        <color indexed="64"/>
      </left>
      <right style="thin">
        <color rgb="FFC00000"/>
      </right>
      <top/>
      <bottom/>
      <diagonal/>
    </border>
    <border>
      <left/>
      <right style="thin">
        <color rgb="FFC00000"/>
      </right>
      <top/>
      <bottom style="thin">
        <color indexed="64"/>
      </bottom>
      <diagonal/>
    </border>
    <border>
      <left/>
      <right style="thin">
        <color rgb="FFC00000"/>
      </right>
      <top style="thin">
        <color indexed="64"/>
      </top>
      <bottom style="thin">
        <color theme="0"/>
      </bottom>
      <diagonal/>
    </border>
    <border>
      <left style="thin">
        <color theme="0"/>
      </left>
      <right/>
      <top/>
      <bottom/>
      <diagonal/>
    </border>
    <border>
      <left style="thin">
        <color indexed="64"/>
      </left>
      <right/>
      <top style="thin">
        <color rgb="FFC00000"/>
      </top>
      <bottom style="thin">
        <color indexed="64"/>
      </bottom>
      <diagonal/>
    </border>
    <border>
      <left/>
      <right style="thin">
        <color indexed="64"/>
      </right>
      <top style="thin">
        <color rgb="FFC00000"/>
      </top>
      <bottom style="thin">
        <color indexed="64"/>
      </bottom>
      <diagonal/>
    </border>
    <border>
      <left/>
      <right style="thin">
        <color indexed="64"/>
      </right>
      <top/>
      <bottom style="thin">
        <color theme="2"/>
      </bottom>
      <diagonal/>
    </border>
    <border>
      <left style="thin">
        <color indexed="64"/>
      </left>
      <right/>
      <top style="thin">
        <color theme="0"/>
      </top>
      <bottom style="hair">
        <color indexed="64"/>
      </bottom>
      <diagonal/>
    </border>
    <border>
      <left/>
      <right style="thin">
        <color indexed="64"/>
      </right>
      <top style="thin">
        <color theme="0"/>
      </top>
      <bottom style="hair">
        <color indexed="64"/>
      </bottom>
      <diagonal/>
    </border>
    <border>
      <left/>
      <right/>
      <top style="thin">
        <color theme="2"/>
      </top>
      <bottom style="thin">
        <color theme="0"/>
      </bottom>
      <diagonal/>
    </border>
    <border>
      <left style="thin">
        <color theme="1"/>
      </left>
      <right/>
      <top/>
      <bottom style="thin">
        <color indexed="64"/>
      </bottom>
      <diagonal/>
    </border>
    <border>
      <left/>
      <right/>
      <top style="thin">
        <color theme="6" tint="0.79998168889431442"/>
      </top>
      <bottom/>
      <diagonal/>
    </border>
    <border>
      <left/>
      <right style="thin">
        <color rgb="FF635AD8"/>
      </right>
      <top/>
      <bottom/>
      <diagonal/>
    </border>
    <border>
      <left style="thin">
        <color indexed="64"/>
      </left>
      <right style="hair">
        <color indexed="64"/>
      </right>
      <top style="thin">
        <color theme="0"/>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theme="0"/>
      </top>
      <bottom style="thin">
        <color indexed="64"/>
      </bottom>
      <diagonal/>
    </border>
    <border>
      <left style="hair">
        <color indexed="64"/>
      </left>
      <right style="hair">
        <color indexed="64"/>
      </right>
      <top style="thin">
        <color theme="0"/>
      </top>
      <bottom style="thin">
        <color indexed="64"/>
      </bottom>
      <diagonal/>
    </border>
    <border>
      <left style="hair">
        <color indexed="64"/>
      </left>
      <right style="hair">
        <color indexed="64"/>
      </right>
      <top style="thin">
        <color indexed="64"/>
      </top>
      <bottom style="thin">
        <color indexed="64"/>
      </bottom>
      <diagonal/>
    </border>
    <border>
      <left/>
      <right/>
      <top style="thin">
        <color theme="0"/>
      </top>
      <bottom style="thin">
        <color theme="6" tint="0.79998168889431442"/>
      </bottom>
      <diagonal/>
    </border>
    <border>
      <left/>
      <right/>
      <top/>
      <bottom style="thin">
        <color theme="6" tint="0.79998168889431442"/>
      </bottom>
      <diagonal/>
    </border>
    <border>
      <left style="thin">
        <color indexed="64"/>
      </left>
      <right style="thin">
        <color indexed="64"/>
      </right>
      <top style="thin">
        <color rgb="FFC00000"/>
      </top>
      <bottom style="thin">
        <color indexed="64"/>
      </bottom>
      <diagonal/>
    </border>
    <border>
      <left style="thin">
        <color indexed="64"/>
      </left>
      <right style="thin">
        <color indexed="64"/>
      </right>
      <top style="thin">
        <color rgb="FFC00000"/>
      </top>
      <bottom/>
      <diagonal/>
    </border>
    <border>
      <left style="hair">
        <color indexed="64"/>
      </left>
      <right style="hair">
        <color indexed="64"/>
      </right>
      <top/>
      <bottom style="thin">
        <color indexed="64"/>
      </bottom>
      <diagonal/>
    </border>
    <border>
      <left/>
      <right/>
      <top/>
      <bottom style="thin">
        <color theme="2"/>
      </bottom>
      <diagonal/>
    </border>
    <border>
      <left style="hair">
        <color indexed="64"/>
      </left>
      <right style="thin">
        <color indexed="64"/>
      </right>
      <top style="thin">
        <color theme="0"/>
      </top>
      <bottom style="thin">
        <color indexed="64"/>
      </bottom>
      <diagonal/>
    </border>
    <border>
      <left style="thin">
        <color indexed="64"/>
      </left>
      <right style="hair">
        <color indexed="64"/>
      </right>
      <top/>
      <bottom style="thin">
        <color indexed="64"/>
      </bottom>
      <diagonal/>
    </border>
    <border>
      <left/>
      <right style="hair">
        <color indexed="64"/>
      </right>
      <top style="thin">
        <color theme="0"/>
      </top>
      <bottom style="thin">
        <color indexed="64"/>
      </bottom>
      <diagonal/>
    </border>
    <border>
      <left/>
      <right/>
      <top style="thin">
        <color theme="6" tint="0.79998168889431442"/>
      </top>
      <bottom style="thin">
        <color rgb="FFC00000"/>
      </bottom>
      <diagonal/>
    </border>
    <border>
      <left style="hair">
        <color indexed="64"/>
      </left>
      <right/>
      <top style="thin">
        <color theme="0"/>
      </top>
      <bottom style="thin">
        <color indexed="64"/>
      </bottom>
      <diagonal/>
    </border>
    <border>
      <left/>
      <right style="thin">
        <color indexed="64"/>
      </right>
      <top style="thin">
        <color theme="7" tint="-0.249977111117893"/>
      </top>
      <bottom style="hair">
        <color indexed="64"/>
      </bottom>
      <diagonal/>
    </border>
    <border>
      <left/>
      <right/>
      <top style="thin">
        <color theme="7" tint="-0.249977111117893"/>
      </top>
      <bottom style="hair">
        <color indexed="64"/>
      </bottom>
      <diagonal/>
    </border>
    <border>
      <left/>
      <right style="thin">
        <color theme="0" tint="-0.14999847407452621"/>
      </right>
      <top/>
      <bottom/>
      <diagonal/>
    </border>
    <border>
      <left/>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top style="thin">
        <color theme="0" tint="-0.14999847407452621"/>
      </top>
      <bottom/>
      <diagonal/>
    </border>
    <border>
      <left style="thin">
        <color indexed="64"/>
      </left>
      <right/>
      <top style="hair">
        <color indexed="64"/>
      </top>
      <bottom style="thin">
        <color theme="0" tint="-0.14999847407452621"/>
      </bottom>
      <diagonal/>
    </border>
    <border>
      <left/>
      <right style="thin">
        <color indexed="64"/>
      </right>
      <top/>
      <bottom style="thin">
        <color theme="0" tint="-0.14999847407452621"/>
      </bottom>
      <diagonal/>
    </border>
    <border>
      <left/>
      <right/>
      <top style="hair">
        <color indexed="64"/>
      </top>
      <bottom style="thin">
        <color theme="0" tint="-0.14999847407452621"/>
      </bottom>
      <diagonal/>
    </border>
    <border>
      <left/>
      <right style="thin">
        <color indexed="64"/>
      </right>
      <top style="hair">
        <color indexed="64"/>
      </top>
      <bottom style="thin">
        <color theme="0" tint="-0.14999847407452621"/>
      </bottom>
      <diagonal/>
    </border>
    <border>
      <left/>
      <right style="thin">
        <color theme="0" tint="-0.14999847407452621"/>
      </right>
      <top/>
      <bottom style="thin">
        <color theme="0" tint="-0.14999847407452621"/>
      </bottom>
      <diagonal/>
    </border>
    <border>
      <left/>
      <right style="thin">
        <color indexed="64"/>
      </right>
      <top style="thin">
        <color theme="0" tint="-0.14999847407452621"/>
      </top>
      <bottom style="hair">
        <color indexed="64"/>
      </bottom>
      <diagonal/>
    </border>
    <border>
      <left/>
      <right style="thin">
        <color theme="9" tint="-0.249977111117893"/>
      </right>
      <top/>
      <bottom/>
      <diagonal/>
    </border>
    <border>
      <left/>
      <right/>
      <top style="thin">
        <color theme="2"/>
      </top>
      <bottom/>
      <diagonal/>
    </border>
    <border>
      <left/>
      <right style="thin">
        <color indexed="64"/>
      </right>
      <top style="thin">
        <color indexed="64"/>
      </top>
      <bottom/>
      <diagonal/>
    </border>
    <border>
      <left style="thin">
        <color theme="5" tint="0.39997558519241921"/>
      </left>
      <right/>
      <top/>
      <bottom/>
      <diagonal/>
    </border>
    <border>
      <left/>
      <right style="thin">
        <color rgb="FF00B050"/>
      </right>
      <top/>
      <bottom style="thin">
        <color rgb="FF00B050"/>
      </bottom>
      <diagonal/>
    </border>
    <border>
      <left/>
      <right/>
      <top/>
      <bottom style="thin">
        <color rgb="FF00B050"/>
      </bottom>
      <diagonal/>
    </border>
    <border>
      <left style="thin">
        <color rgb="FFFF99FF"/>
      </left>
      <right/>
      <top/>
      <bottom/>
      <diagonal/>
    </border>
    <border>
      <left style="thin">
        <color rgb="FFFF99FF"/>
      </left>
      <right/>
      <top/>
      <bottom style="thin">
        <color rgb="FFFF99FF"/>
      </bottom>
      <diagonal/>
    </border>
    <border>
      <left/>
      <right/>
      <top/>
      <bottom style="thin">
        <color rgb="FFFF99FF"/>
      </bottom>
      <diagonal/>
    </border>
    <border>
      <left/>
      <right style="thin">
        <color rgb="FFFF99FF"/>
      </right>
      <top/>
      <bottom style="thin">
        <color rgb="FFFF99FF"/>
      </bottom>
      <diagonal/>
    </border>
    <border>
      <left/>
      <right style="thin">
        <color rgb="FFFF99FF"/>
      </right>
      <top/>
      <bottom/>
      <diagonal/>
    </border>
    <border>
      <left style="thin">
        <color indexed="64"/>
      </left>
      <right style="thin">
        <color indexed="64"/>
      </right>
      <top style="thin">
        <color rgb="FFFF99FF"/>
      </top>
      <bottom style="hair">
        <color indexed="64"/>
      </bottom>
      <diagonal/>
    </border>
    <border>
      <left style="thin">
        <color indexed="64"/>
      </left>
      <right/>
      <top style="thin">
        <color rgb="FFFF99FF"/>
      </top>
      <bottom style="hair">
        <color indexed="64"/>
      </bottom>
      <diagonal/>
    </border>
    <border>
      <left/>
      <right style="thin">
        <color indexed="64"/>
      </right>
      <top style="thin">
        <color rgb="FFFF99FF"/>
      </top>
      <bottom style="hair">
        <color indexed="64"/>
      </bottom>
      <diagonal/>
    </border>
    <border>
      <left/>
      <right/>
      <top/>
      <bottom style="thin">
        <color rgb="FF7030A0"/>
      </bottom>
      <diagonal/>
    </border>
    <border>
      <left/>
      <right style="thin">
        <color rgb="FF7030A0"/>
      </right>
      <top/>
      <bottom style="thin">
        <color rgb="FF7030A0"/>
      </bottom>
      <diagonal/>
    </border>
    <border>
      <left style="thin">
        <color rgb="FF7030A0"/>
      </left>
      <right/>
      <top/>
      <bottom style="thin">
        <color rgb="FF7030A0"/>
      </bottom>
      <diagonal/>
    </border>
    <border>
      <left style="thin">
        <color rgb="FF7030A0"/>
      </left>
      <right/>
      <top/>
      <bottom/>
      <diagonal/>
    </border>
    <border>
      <left style="thin">
        <color theme="0" tint="-0.14999847407452621"/>
      </left>
      <right/>
      <top/>
      <bottom/>
      <diagonal/>
    </border>
    <border>
      <left style="thin">
        <color rgb="FFC00000"/>
      </left>
      <right/>
      <top/>
      <bottom style="thin">
        <color rgb="FFC00000"/>
      </bottom>
      <diagonal/>
    </border>
    <border>
      <left style="thin">
        <color indexed="64"/>
      </left>
      <right/>
      <top style="thin">
        <color rgb="FFC00000"/>
      </top>
      <bottom style="hair">
        <color indexed="64"/>
      </bottom>
      <diagonal/>
    </border>
    <border>
      <left/>
      <right style="thin">
        <color indexed="64"/>
      </right>
      <top style="thin">
        <color rgb="FFC00000"/>
      </top>
      <bottom style="hair">
        <color indexed="64"/>
      </bottom>
      <diagonal/>
    </border>
    <border>
      <left style="thin">
        <color indexed="64"/>
      </left>
      <right/>
      <top style="thin">
        <color rgb="FF00B050"/>
      </top>
      <bottom style="hair">
        <color indexed="64"/>
      </bottom>
      <diagonal/>
    </border>
    <border>
      <left/>
      <right style="thin">
        <color indexed="64"/>
      </right>
      <top style="thin">
        <color rgb="FF00B050"/>
      </top>
      <bottom style="hair">
        <color indexed="64"/>
      </bottom>
      <diagonal/>
    </border>
    <border>
      <left style="thin">
        <color indexed="64"/>
      </left>
      <right/>
      <top style="thin">
        <color rgb="FF7030A0"/>
      </top>
      <bottom style="hair">
        <color indexed="64"/>
      </bottom>
      <diagonal/>
    </border>
    <border>
      <left/>
      <right style="thin">
        <color indexed="64"/>
      </right>
      <top style="thin">
        <color indexed="64"/>
      </top>
      <bottom style="thin">
        <color theme="0"/>
      </bottom>
      <diagonal/>
    </border>
    <border>
      <left/>
      <right style="thin">
        <color indexed="64"/>
      </right>
      <top style="thin">
        <color theme="0"/>
      </top>
      <bottom/>
      <diagonal/>
    </border>
    <border>
      <left style="thin">
        <color indexed="64"/>
      </left>
      <right style="thin">
        <color indexed="64"/>
      </right>
      <top style="thin">
        <color theme="0" tint="-0.14999847407452621"/>
      </top>
      <bottom style="hair">
        <color indexed="64"/>
      </bottom>
      <diagonal/>
    </border>
    <border>
      <left style="thin">
        <color indexed="64"/>
      </left>
      <right/>
      <top style="thin">
        <color theme="0" tint="-0.14999847407452621"/>
      </top>
      <bottom style="hair">
        <color indexed="64"/>
      </bottom>
      <diagonal/>
    </border>
    <border>
      <left/>
      <right/>
      <top style="thin">
        <color theme="0" tint="-0.14999847407452621"/>
      </top>
      <bottom style="hair">
        <color indexed="64"/>
      </bottom>
      <diagonal/>
    </border>
    <border>
      <left style="thin">
        <color indexed="64"/>
      </left>
      <right style="thin">
        <color indexed="64"/>
      </right>
      <top style="thin">
        <color rgb="FFC00000"/>
      </top>
      <bottom style="hair">
        <color indexed="64"/>
      </bottom>
      <diagonal/>
    </border>
    <border>
      <left/>
      <right/>
      <top/>
      <bottom style="thin">
        <color theme="5" tint="0.59999389629810485"/>
      </bottom>
      <diagonal/>
    </border>
    <border>
      <left/>
      <right style="thin">
        <color theme="5" tint="0.39997558519241921"/>
      </right>
      <top/>
      <bottom style="thin">
        <color theme="5" tint="0.59999389629810485"/>
      </bottom>
      <diagonal/>
    </border>
    <border>
      <left style="thin">
        <color theme="5" tint="0.39997558519241921"/>
      </left>
      <right/>
      <top/>
      <bottom style="thin">
        <color theme="5" tint="0.59999389629810485"/>
      </bottom>
      <diagonal/>
    </border>
    <border>
      <left style="thin">
        <color theme="0" tint="-0.14999847407452621"/>
      </left>
      <right/>
      <top/>
      <bottom style="thin">
        <color theme="0" tint="-0.14999847407452621"/>
      </bottom>
      <diagonal/>
    </border>
    <border>
      <left style="thin">
        <color indexed="64"/>
      </left>
      <right style="thin">
        <color indexed="64"/>
      </right>
      <top style="thin">
        <color rgb="FF7030A0"/>
      </top>
      <bottom style="hair">
        <color indexed="64"/>
      </bottom>
      <diagonal/>
    </border>
    <border>
      <left/>
      <right style="thin">
        <color indexed="64"/>
      </right>
      <top style="thin">
        <color rgb="FF7030A0"/>
      </top>
      <bottom style="hair">
        <color indexed="64"/>
      </bottom>
      <diagonal/>
    </border>
    <border>
      <left style="thin">
        <color indexed="64"/>
      </left>
      <right style="thin">
        <color indexed="64"/>
      </right>
      <top style="hair">
        <color indexed="64"/>
      </top>
      <bottom style="thin">
        <color rgb="FFC00000"/>
      </bottom>
      <diagonal/>
    </border>
    <border>
      <left style="thin">
        <color indexed="64"/>
      </left>
      <right/>
      <top style="hair">
        <color indexed="64"/>
      </top>
      <bottom style="thin">
        <color rgb="FFC00000"/>
      </bottom>
      <diagonal/>
    </border>
    <border>
      <left/>
      <right style="thin">
        <color indexed="64"/>
      </right>
      <top style="hair">
        <color indexed="64"/>
      </top>
      <bottom style="thin">
        <color rgb="FFC00000"/>
      </bottom>
      <diagonal/>
    </border>
    <border>
      <left style="thin">
        <color indexed="64"/>
      </left>
      <right/>
      <top style="thin">
        <color rgb="FFC00000"/>
      </top>
      <bottom/>
      <diagonal/>
    </border>
    <border>
      <left/>
      <right style="thin">
        <color indexed="64"/>
      </right>
      <top style="thin">
        <color rgb="FFC00000"/>
      </top>
      <bottom/>
      <diagonal/>
    </border>
    <border>
      <left/>
      <right style="thin">
        <color indexed="64"/>
      </right>
      <top/>
      <bottom style="thin">
        <color rgb="FFC00000"/>
      </bottom>
      <diagonal/>
    </border>
    <border>
      <left style="thin">
        <color indexed="64"/>
      </left>
      <right style="thin">
        <color indexed="64"/>
      </right>
      <top/>
      <bottom style="thin">
        <color rgb="FFC00000"/>
      </bottom>
      <diagonal/>
    </border>
    <border>
      <left style="thin">
        <color indexed="64"/>
      </left>
      <right style="thin">
        <color rgb="FFC00000"/>
      </right>
      <top/>
      <bottom style="thin">
        <color rgb="FFC00000"/>
      </bottom>
      <diagonal/>
    </border>
    <border>
      <left style="thin">
        <color rgb="FFC00000"/>
      </left>
      <right style="thin">
        <color indexed="64"/>
      </right>
      <top style="thin">
        <color rgb="FFC00000"/>
      </top>
      <bottom style="thin">
        <color rgb="FFC00000"/>
      </bottom>
      <diagonal/>
    </border>
    <border>
      <left style="thin">
        <color indexed="64"/>
      </left>
      <right style="thin">
        <color rgb="FFC00000"/>
      </right>
      <top style="thin">
        <color rgb="FFC00000"/>
      </top>
      <bottom style="thin">
        <color rgb="FFC00000"/>
      </bottom>
      <diagonal/>
    </border>
    <border>
      <left/>
      <right/>
      <top style="thin">
        <color indexed="64"/>
      </top>
      <bottom style="thin">
        <color rgb="FFC00000"/>
      </bottom>
      <diagonal/>
    </border>
    <border>
      <left/>
      <right style="thin">
        <color theme="5" tint="0.39997558519241921"/>
      </right>
      <top/>
      <bottom style="thin">
        <color rgb="FFFF99FF"/>
      </bottom>
      <diagonal/>
    </border>
    <border>
      <left/>
      <right/>
      <top style="thin">
        <color rgb="FFC00000"/>
      </top>
      <bottom style="hair">
        <color indexed="64"/>
      </bottom>
      <diagonal/>
    </border>
    <border>
      <left/>
      <right/>
      <top/>
      <bottom style="thin">
        <color theme="4" tint="0.79998168889431442"/>
      </bottom>
      <diagonal/>
    </border>
    <border>
      <left/>
      <right/>
      <top style="thin">
        <color theme="9" tint="-0.249977111117893"/>
      </top>
      <bottom/>
      <diagonal/>
    </border>
    <border>
      <left/>
      <right style="thin">
        <color theme="0"/>
      </right>
      <top/>
      <bottom/>
      <diagonal/>
    </border>
    <border>
      <left style="thin">
        <color rgb="FFC00000"/>
      </left>
      <right/>
      <top style="thin">
        <color theme="0"/>
      </top>
      <bottom style="thin">
        <color rgb="FFC00000"/>
      </bottom>
      <diagonal/>
    </border>
    <border>
      <left style="thin">
        <color rgb="FFC00000"/>
      </left>
      <right style="thin">
        <color rgb="FFC00000"/>
      </right>
      <top/>
      <bottom style="thin">
        <color rgb="FFC00000"/>
      </bottom>
      <diagonal/>
    </border>
    <border>
      <left/>
      <right style="thin">
        <color rgb="FFC00000"/>
      </right>
      <top style="thin">
        <color indexed="64"/>
      </top>
      <bottom style="thin">
        <color rgb="FFC00000"/>
      </bottom>
      <diagonal/>
    </border>
    <border>
      <left/>
      <right/>
      <top style="thin">
        <color rgb="FFC00000"/>
      </top>
      <bottom style="thin">
        <color indexed="64"/>
      </bottom>
      <diagonal/>
    </border>
    <border>
      <left style="thin">
        <color indexed="64"/>
      </left>
      <right style="hair">
        <color indexed="64"/>
      </right>
      <top style="thin">
        <color rgb="FFC00000"/>
      </top>
      <bottom style="thin">
        <color indexed="64"/>
      </bottom>
      <diagonal/>
    </border>
    <border>
      <left style="hair">
        <color indexed="64"/>
      </left>
      <right style="hair">
        <color indexed="64"/>
      </right>
      <top style="thin">
        <color rgb="FFC00000"/>
      </top>
      <bottom style="thin">
        <color indexed="64"/>
      </bottom>
      <diagonal/>
    </border>
    <border>
      <left/>
      <right/>
      <top/>
      <bottom style="thin">
        <color theme="4"/>
      </bottom>
      <diagonal/>
    </border>
    <border>
      <left/>
      <right style="thin">
        <color rgb="FF635AD8"/>
      </right>
      <top/>
      <bottom style="thin">
        <color theme="4"/>
      </bottom>
      <diagonal/>
    </border>
    <border>
      <left/>
      <right/>
      <top/>
      <bottom style="thin">
        <color rgb="FF005828"/>
      </bottom>
      <diagonal/>
    </border>
    <border>
      <left/>
      <right style="thin">
        <color rgb="FF005828"/>
      </right>
      <top/>
      <bottom/>
      <diagonal/>
    </border>
    <border>
      <left/>
      <right style="thin">
        <color rgb="FF005828"/>
      </right>
      <top/>
      <bottom style="thin">
        <color rgb="FF005828"/>
      </bottom>
      <diagonal/>
    </border>
    <border>
      <left/>
      <right/>
      <top style="hair">
        <color indexed="64"/>
      </top>
      <bottom style="thin">
        <color rgb="FF005828"/>
      </bottom>
      <diagonal/>
    </border>
    <border>
      <left/>
      <right style="thin">
        <color indexed="64"/>
      </right>
      <top style="hair">
        <color indexed="64"/>
      </top>
      <bottom style="thin">
        <color rgb="FF005828"/>
      </bottom>
      <diagonal/>
    </border>
    <border>
      <left style="thin">
        <color indexed="64"/>
      </left>
      <right/>
      <top style="hair">
        <color indexed="64"/>
      </top>
      <bottom style="thin">
        <color rgb="FF005828"/>
      </bottom>
      <diagonal/>
    </border>
    <border>
      <left/>
      <right/>
      <top style="thin">
        <color rgb="FFC00000"/>
      </top>
      <bottom style="thin">
        <color rgb="FFC00000"/>
      </bottom>
      <diagonal/>
    </border>
  </borders>
  <cellStyleXfs count="38">
    <xf numFmtId="0" fontId="0" fillId="0" borderId="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2" fillId="0" borderId="0"/>
    <xf numFmtId="0" fontId="23" fillId="0" borderId="0"/>
    <xf numFmtId="0" fontId="22" fillId="0" borderId="0"/>
    <xf numFmtId="0" fontId="26" fillId="0" borderId="0"/>
    <xf numFmtId="0" fontId="23" fillId="0" borderId="0"/>
    <xf numFmtId="0" fontId="9" fillId="0" borderId="0">
      <alignment vertical="top"/>
    </xf>
    <xf numFmtId="0" fontId="26" fillId="0" borderId="0"/>
    <xf numFmtId="0" fontId="26" fillId="0" borderId="0"/>
    <xf numFmtId="0" fontId="13" fillId="0" borderId="0" applyNumberFormat="0" applyFill="0" applyBorder="0" applyProtection="0">
      <alignment vertical="top" wrapText="1"/>
    </xf>
    <xf numFmtId="0" fontId="15" fillId="0" borderId="0" applyNumberFormat="0" applyFill="0" applyBorder="0" applyProtection="0">
      <alignment vertical="top" wrapText="1"/>
    </xf>
    <xf numFmtId="0" fontId="14" fillId="0" borderId="0" applyNumberFormat="0" applyFill="0" applyBorder="0" applyProtection="0">
      <alignment vertical="top" wrapText="1"/>
    </xf>
    <xf numFmtId="0" fontId="13" fillId="0" borderId="0" applyNumberFormat="0" applyFill="0" applyBorder="0" applyProtection="0">
      <alignment vertical="top" wrapText="1"/>
    </xf>
    <xf numFmtId="0" fontId="15" fillId="0" borderId="0" applyNumberFormat="0" applyFill="0" applyBorder="0" applyProtection="0">
      <alignment vertical="top" wrapText="1"/>
    </xf>
    <xf numFmtId="0" fontId="15" fillId="0" borderId="0" applyNumberFormat="0" applyFill="0" applyBorder="0" applyProtection="0">
      <alignment vertical="top" wrapText="1"/>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2" fillId="0" borderId="0" applyFont="0" applyFill="0" applyBorder="0" applyAlignment="0" applyProtection="0"/>
    <xf numFmtId="9" fontId="2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44" fontId="2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cellStyleXfs>
  <cellXfs count="1250">
    <xf numFmtId="0" fontId="0" fillId="0" borderId="0" xfId="0"/>
    <xf numFmtId="0" fontId="28" fillId="4" borderId="0" xfId="0" applyFont="1" applyFill="1" applyAlignment="1">
      <alignment horizontal="center" vertical="center"/>
    </xf>
    <xf numFmtId="0" fontId="28" fillId="4" borderId="0" xfId="0" applyFont="1" applyFill="1"/>
    <xf numFmtId="0" fontId="28" fillId="4" borderId="0" xfId="0" applyFont="1" applyFill="1" applyAlignment="1">
      <alignment vertical="center"/>
    </xf>
    <xf numFmtId="6" fontId="28" fillId="4" borderId="0" xfId="0" applyNumberFormat="1" applyFont="1" applyFill="1" applyAlignment="1">
      <alignment horizontal="center" vertical="center" wrapText="1"/>
    </xf>
    <xf numFmtId="0" fontId="29" fillId="4" borderId="0" xfId="0" applyFont="1" applyFill="1" applyAlignment="1">
      <alignment horizontal="center" vertical="center" wrapText="1"/>
    </xf>
    <xf numFmtId="0" fontId="30" fillId="4" borderId="0" xfId="0" applyFont="1" applyFill="1" applyAlignment="1">
      <alignment vertical="center" wrapText="1"/>
    </xf>
    <xf numFmtId="0" fontId="30" fillId="4" borderId="0" xfId="0" applyFont="1" applyFill="1" applyAlignment="1">
      <alignment vertical="top" wrapText="1"/>
    </xf>
    <xf numFmtId="0" fontId="31" fillId="4" borderId="0" xfId="0" applyFont="1" applyFill="1" applyAlignment="1">
      <alignment vertical="center"/>
    </xf>
    <xf numFmtId="0" fontId="31" fillId="4" borderId="0" xfId="0" applyFont="1" applyFill="1" applyAlignment="1">
      <alignment vertical="center" wrapText="1"/>
    </xf>
    <xf numFmtId="0" fontId="0" fillId="3" borderId="0" xfId="0" applyFill="1"/>
    <xf numFmtId="0" fontId="0" fillId="4" borderId="0" xfId="0" applyFill="1"/>
    <xf numFmtId="0" fontId="0" fillId="4" borderId="0" xfId="0" applyFill="1" applyAlignment="1">
      <alignment horizontal="left" vertical="top" wrapText="1"/>
    </xf>
    <xf numFmtId="0" fontId="28" fillId="4" borderId="0" xfId="0" applyFont="1" applyFill="1" applyAlignment="1">
      <alignment horizontal="left" wrapText="1"/>
    </xf>
    <xf numFmtId="0" fontId="33" fillId="4" borderId="0" xfId="0" applyFont="1" applyFill="1"/>
    <xf numFmtId="0" fontId="32" fillId="4" borderId="0" xfId="0" applyFont="1" applyFill="1" applyAlignment="1">
      <alignment vertical="center" wrapText="1"/>
    </xf>
    <xf numFmtId="0" fontId="30" fillId="4" borderId="0" xfId="0" applyFont="1" applyFill="1" applyAlignment="1">
      <alignment horizontal="center" vertical="center" wrapText="1" readingOrder="1"/>
    </xf>
    <xf numFmtId="9" fontId="28" fillId="4" borderId="0" xfId="0" applyNumberFormat="1" applyFont="1" applyFill="1"/>
    <xf numFmtId="165" fontId="28" fillId="4" borderId="0" xfId="0" applyNumberFormat="1" applyFont="1" applyFill="1" applyAlignment="1">
      <alignment horizontal="center" vertical="center"/>
    </xf>
    <xf numFmtId="167" fontId="28" fillId="4" borderId="0" xfId="0" applyNumberFormat="1" applyFont="1" applyFill="1" applyAlignment="1">
      <alignment horizontal="center" vertical="center"/>
    </xf>
    <xf numFmtId="0" fontId="28" fillId="4" borderId="35" xfId="0" applyFont="1" applyFill="1" applyBorder="1"/>
    <xf numFmtId="0" fontId="10" fillId="4" borderId="0" xfId="0" applyFont="1" applyFill="1"/>
    <xf numFmtId="0" fontId="30" fillId="4" borderId="0" xfId="0" applyFont="1" applyFill="1" applyAlignment="1">
      <alignment horizontal="center" vertical="top" wrapText="1"/>
    </xf>
    <xf numFmtId="0" fontId="3" fillId="4" borderId="0" xfId="0" applyFont="1" applyFill="1"/>
    <xf numFmtId="0" fontId="29" fillId="4" borderId="0" xfId="0" applyFont="1" applyFill="1" applyAlignment="1">
      <alignment vertical="center" wrapText="1"/>
    </xf>
    <xf numFmtId="6" fontId="29" fillId="4" borderId="0" xfId="0" applyNumberFormat="1" applyFont="1" applyFill="1" applyAlignment="1">
      <alignment horizontal="center" vertical="center" wrapText="1"/>
    </xf>
    <xf numFmtId="0" fontId="0" fillId="3" borderId="0" xfId="0" applyFill="1" applyAlignment="1">
      <alignment horizontal="center" vertical="center"/>
    </xf>
    <xf numFmtId="0" fontId="0" fillId="3" borderId="0" xfId="0" applyFill="1" applyAlignment="1">
      <alignment horizontal="left" vertical="center"/>
    </xf>
    <xf numFmtId="0" fontId="28" fillId="4" borderId="0" xfId="0" applyFont="1" applyFill="1" applyAlignment="1">
      <alignment textRotation="90" wrapText="1"/>
    </xf>
    <xf numFmtId="0" fontId="28" fillId="5" borderId="2" xfId="0" applyFont="1" applyFill="1" applyBorder="1"/>
    <xf numFmtId="0" fontId="34" fillId="5" borderId="2" xfId="0" applyFont="1" applyFill="1" applyBorder="1"/>
    <xf numFmtId="0" fontId="33" fillId="5" borderId="2" xfId="0" applyFont="1" applyFill="1" applyBorder="1"/>
    <xf numFmtId="0" fontId="3" fillId="4" borderId="0" xfId="0" applyFont="1" applyFill="1" applyAlignment="1">
      <alignment vertical="center" wrapText="1"/>
    </xf>
    <xf numFmtId="0" fontId="28" fillId="4" borderId="0" xfId="0" applyFont="1" applyFill="1" applyAlignment="1">
      <alignment vertical="top" wrapText="1"/>
    </xf>
    <xf numFmtId="165" fontId="28" fillId="4" borderId="0" xfId="0" applyNumberFormat="1" applyFont="1" applyFill="1" applyAlignment="1">
      <alignment vertical="center"/>
    </xf>
    <xf numFmtId="0" fontId="30" fillId="7" borderId="0" xfId="0" applyFont="1" applyFill="1" applyAlignment="1">
      <alignment horizontal="center" vertical="center" wrapText="1"/>
    </xf>
    <xf numFmtId="0" fontId="3" fillId="4" borderId="0" xfId="17" applyNumberFormat="1" applyFont="1" applyFill="1" applyBorder="1" applyAlignment="1">
      <alignment horizontal="left" vertical="center" wrapText="1"/>
    </xf>
    <xf numFmtId="0" fontId="2" fillId="2" borderId="0" xfId="17" applyNumberFormat="1" applyFont="1" applyFill="1" applyBorder="1" applyAlignment="1">
      <alignment horizontal="center" vertical="center" wrapText="1"/>
    </xf>
    <xf numFmtId="169" fontId="2" fillId="2" borderId="0" xfId="17" applyNumberFormat="1" applyFont="1" applyFill="1" applyBorder="1" applyAlignment="1">
      <alignment horizontal="center" vertical="center" wrapText="1"/>
    </xf>
    <xf numFmtId="0" fontId="28" fillId="4" borderId="0" xfId="0" applyFont="1" applyFill="1" applyAlignment="1">
      <alignment horizontal="center" vertical="center" wrapText="1"/>
    </xf>
    <xf numFmtId="0" fontId="30" fillId="4" borderId="0" xfId="0" applyFont="1" applyFill="1"/>
    <xf numFmtId="49" fontId="28" fillId="4" borderId="0" xfId="0" applyNumberFormat="1" applyFont="1" applyFill="1"/>
    <xf numFmtId="0" fontId="30" fillId="7" borderId="0" xfId="0" applyFont="1" applyFill="1" applyAlignment="1">
      <alignment vertical="center" wrapText="1"/>
    </xf>
    <xf numFmtId="0" fontId="32" fillId="4" borderId="0" xfId="0" applyFont="1" applyFill="1" applyAlignment="1">
      <alignment vertical="top" wrapText="1"/>
    </xf>
    <xf numFmtId="0" fontId="3" fillId="4" borderId="0" xfId="17" applyNumberFormat="1" applyFont="1" applyFill="1" applyBorder="1" applyAlignment="1">
      <alignment horizontal="left" vertical="center" wrapText="1" indent="1"/>
    </xf>
    <xf numFmtId="3" fontId="2" fillId="4" borderId="0" xfId="17" applyNumberFormat="1" applyFont="1" applyFill="1" applyBorder="1" applyAlignment="1">
      <alignment horizontal="center" vertical="center" wrapText="1"/>
    </xf>
    <xf numFmtId="169" fontId="2" fillId="4" borderId="0" xfId="17" applyNumberFormat="1" applyFont="1" applyFill="1" applyBorder="1" applyAlignment="1">
      <alignment horizontal="center" vertical="center" wrapText="1"/>
    </xf>
    <xf numFmtId="0" fontId="33" fillId="4" borderId="0" xfId="0" applyFont="1" applyFill="1" applyAlignment="1">
      <alignment horizontal="left" vertical="center" indent="1"/>
    </xf>
    <xf numFmtId="0" fontId="30" fillId="9" borderId="0" xfId="0" applyFont="1" applyFill="1" applyAlignment="1">
      <alignment vertical="center"/>
    </xf>
    <xf numFmtId="0" fontId="28" fillId="10" borderId="0" xfId="0" applyFont="1" applyFill="1" applyAlignment="1">
      <alignment horizontal="left" vertical="center" wrapText="1" indent="1"/>
    </xf>
    <xf numFmtId="0" fontId="3" fillId="4" borderId="0" xfId="0" applyFont="1" applyFill="1" applyAlignment="1">
      <alignment vertical="center"/>
    </xf>
    <xf numFmtId="0" fontId="3" fillId="4" borderId="0" xfId="0" applyFont="1" applyFill="1" applyAlignment="1">
      <alignment vertical="top" wrapText="1"/>
    </xf>
    <xf numFmtId="0" fontId="1" fillId="4" borderId="0" xfId="0" applyFont="1" applyFill="1" applyAlignment="1">
      <alignment vertical="center" wrapText="1"/>
    </xf>
    <xf numFmtId="0" fontId="30" fillId="11" borderId="0" xfId="0" applyFont="1" applyFill="1" applyAlignment="1">
      <alignment horizontal="center" vertical="center"/>
    </xf>
    <xf numFmtId="168" fontId="2" fillId="4" borderId="0" xfId="0" applyNumberFormat="1" applyFont="1" applyFill="1" applyAlignment="1">
      <alignment horizontal="center" vertical="center"/>
    </xf>
    <xf numFmtId="0" fontId="2" fillId="4" borderId="0" xfId="0" applyFont="1" applyFill="1" applyAlignment="1">
      <alignment horizontal="center" vertical="center" wrapText="1"/>
    </xf>
    <xf numFmtId="0" fontId="29" fillId="4" borderId="0" xfId="0" applyFont="1" applyFill="1" applyAlignment="1">
      <alignment horizontal="left" vertical="center" indent="2"/>
    </xf>
    <xf numFmtId="0" fontId="29" fillId="0" borderId="0" xfId="0" applyFont="1" applyAlignment="1">
      <alignment horizontal="left" vertical="center" indent="2"/>
    </xf>
    <xf numFmtId="0" fontId="1" fillId="4" borderId="0" xfId="0" applyFont="1" applyFill="1" applyAlignment="1">
      <alignment horizontal="right" vertical="center" wrapText="1"/>
    </xf>
    <xf numFmtId="166" fontId="28" fillId="4" borderId="0" xfId="0" applyNumberFormat="1" applyFont="1" applyFill="1" applyAlignment="1">
      <alignment horizontal="center" vertical="center"/>
    </xf>
    <xf numFmtId="0" fontId="5" fillId="4" borderId="0" xfId="0" applyFont="1" applyFill="1" applyAlignment="1">
      <alignment horizontal="center" vertical="center"/>
    </xf>
    <xf numFmtId="0" fontId="6" fillId="4" borderId="0" xfId="0" applyFont="1" applyFill="1" applyAlignment="1">
      <alignment horizontal="center" vertical="center"/>
    </xf>
    <xf numFmtId="0" fontId="5" fillId="4" borderId="0" xfId="0" applyFont="1" applyFill="1" applyAlignment="1">
      <alignment horizontal="center" vertical="center" wrapText="1"/>
    </xf>
    <xf numFmtId="0" fontId="32" fillId="3" borderId="0" xfId="0" applyFont="1" applyFill="1" applyAlignment="1">
      <alignment vertical="top" wrapText="1"/>
    </xf>
    <xf numFmtId="0" fontId="30" fillId="4" borderId="0" xfId="0" applyFont="1" applyFill="1" applyAlignment="1">
      <alignment horizontal="center" vertical="center"/>
    </xf>
    <xf numFmtId="0" fontId="37" fillId="4" borderId="0" xfId="0" applyFont="1" applyFill="1"/>
    <xf numFmtId="0" fontId="38" fillId="4" borderId="0" xfId="0" applyFont="1" applyFill="1"/>
    <xf numFmtId="0" fontId="4" fillId="4" borderId="0" xfId="0" applyFont="1" applyFill="1" applyAlignment="1">
      <alignment wrapText="1"/>
    </xf>
    <xf numFmtId="0" fontId="39" fillId="4" borderId="0" xfId="0" applyFont="1" applyFill="1"/>
    <xf numFmtId="0" fontId="39" fillId="4" borderId="0" xfId="0" applyFont="1" applyFill="1" applyAlignment="1">
      <alignment horizontal="left" vertical="center" wrapText="1" indent="1"/>
    </xf>
    <xf numFmtId="0" fontId="40" fillId="4" borderId="0" xfId="11" applyFont="1" applyFill="1" applyAlignment="1">
      <alignment horizontal="left" indent="1"/>
    </xf>
    <xf numFmtId="49" fontId="40" fillId="4" borderId="0" xfId="8" applyNumberFormat="1" applyFont="1" applyFill="1" applyAlignment="1">
      <alignment horizontal="center"/>
    </xf>
    <xf numFmtId="0" fontId="30" fillId="9" borderId="35" xfId="0" applyFont="1" applyFill="1" applyBorder="1" applyAlignment="1">
      <alignment horizontal="center" vertical="center"/>
    </xf>
    <xf numFmtId="0" fontId="30" fillId="9" borderId="0" xfId="0" applyFont="1" applyFill="1" applyAlignment="1">
      <alignment horizontal="center" vertical="center" wrapText="1"/>
    </xf>
    <xf numFmtId="0" fontId="28" fillId="4" borderId="0" xfId="0" applyFont="1" applyFill="1" applyAlignment="1">
      <alignment horizontal="left" vertical="center" wrapText="1" indent="1"/>
    </xf>
    <xf numFmtId="0" fontId="28" fillId="4" borderId="0" xfId="0" applyFont="1" applyFill="1" applyAlignment="1">
      <alignment horizontal="left" vertical="center" indent="1"/>
    </xf>
    <xf numFmtId="0" fontId="30" fillId="4" borderId="0" xfId="0" applyFont="1" applyFill="1" applyAlignment="1">
      <alignment horizontal="center" vertical="center" wrapText="1"/>
    </xf>
    <xf numFmtId="3" fontId="2" fillId="12" borderId="0" xfId="0" applyNumberFormat="1" applyFont="1" applyFill="1" applyAlignment="1">
      <alignment horizontal="center" vertical="center"/>
    </xf>
    <xf numFmtId="3" fontId="28" fillId="4" borderId="0" xfId="0" applyNumberFormat="1" applyFont="1" applyFill="1" applyAlignment="1">
      <alignment horizontal="center" vertical="center"/>
    </xf>
    <xf numFmtId="166" fontId="2" fillId="6" borderId="0" xfId="0" applyNumberFormat="1" applyFont="1" applyFill="1" applyAlignment="1">
      <alignment horizontal="center" vertical="center"/>
    </xf>
    <xf numFmtId="0" fontId="35" fillId="6" borderId="0" xfId="0" applyFont="1" applyFill="1" applyAlignment="1">
      <alignment horizontal="center" vertical="center"/>
    </xf>
    <xf numFmtId="166" fontId="35" fillId="6" borderId="0" xfId="0" applyNumberFormat="1" applyFont="1" applyFill="1" applyAlignment="1">
      <alignment horizontal="center" vertical="center"/>
    </xf>
    <xf numFmtId="166" fontId="35" fillId="8" borderId="0" xfId="0" applyNumberFormat="1" applyFont="1" applyFill="1" applyAlignment="1">
      <alignment horizontal="center" vertical="center"/>
    </xf>
    <xf numFmtId="0" fontId="29" fillId="4" borderId="0" xfId="0" applyFont="1" applyFill="1" applyAlignment="1">
      <alignment horizontal="center" vertical="center" wrapText="1" readingOrder="1"/>
    </xf>
    <xf numFmtId="3" fontId="28" fillId="4" borderId="0" xfId="0" applyNumberFormat="1" applyFont="1" applyFill="1" applyAlignment="1">
      <alignment horizontal="center" vertical="center" readingOrder="1"/>
    </xf>
    <xf numFmtId="6" fontId="28" fillId="7" borderId="0" xfId="0" applyNumberFormat="1" applyFont="1" applyFill="1" applyAlignment="1">
      <alignment horizontal="center" vertical="center" readingOrder="1"/>
    </xf>
    <xf numFmtId="6" fontId="28" fillId="4" borderId="0" xfId="0" applyNumberFormat="1" applyFont="1" applyFill="1" applyAlignment="1">
      <alignment horizontal="center" vertical="center" readingOrder="1"/>
    </xf>
    <xf numFmtId="0" fontId="42" fillId="4" borderId="0" xfId="0" applyFont="1" applyFill="1"/>
    <xf numFmtId="0" fontId="30" fillId="11" borderId="0" xfId="0" applyFont="1" applyFill="1" applyAlignment="1">
      <alignment vertical="center"/>
    </xf>
    <xf numFmtId="0" fontId="32" fillId="0" borderId="0" xfId="0" applyFont="1" applyAlignment="1">
      <alignment horizontal="center" vertical="center" textRotation="90"/>
    </xf>
    <xf numFmtId="0" fontId="32" fillId="9" borderId="0" xfId="0" applyFont="1" applyFill="1"/>
    <xf numFmtId="0" fontId="43" fillId="9" borderId="36" xfId="0" applyFont="1" applyFill="1" applyBorder="1" applyAlignment="1">
      <alignment vertical="center" wrapText="1" readingOrder="1"/>
    </xf>
    <xf numFmtId="0" fontId="32" fillId="4" borderId="4" xfId="0" applyFont="1" applyFill="1" applyBorder="1" applyAlignment="1">
      <alignment horizontal="center" vertical="center" wrapText="1"/>
    </xf>
    <xf numFmtId="0" fontId="28" fillId="4" borderId="1" xfId="0" applyFont="1" applyFill="1" applyBorder="1"/>
    <xf numFmtId="0" fontId="32" fillId="4" borderId="0" xfId="0" applyFont="1" applyFill="1" applyAlignment="1">
      <alignment wrapText="1"/>
    </xf>
    <xf numFmtId="0" fontId="32" fillId="4" borderId="0" xfId="0" applyFont="1" applyFill="1" applyAlignment="1">
      <alignment horizontal="left" vertical="center" wrapText="1"/>
    </xf>
    <xf numFmtId="0" fontId="45" fillId="4" borderId="0" xfId="0" applyFont="1" applyFill="1"/>
    <xf numFmtId="0" fontId="47" fillId="4" borderId="0" xfId="0" applyFont="1" applyFill="1"/>
    <xf numFmtId="0" fontId="32" fillId="4" borderId="0" xfId="0" applyFont="1" applyFill="1" applyAlignment="1">
      <alignment horizontal="left"/>
    </xf>
    <xf numFmtId="0" fontId="48" fillId="10" borderId="0" xfId="0" applyFont="1" applyFill="1" applyAlignment="1">
      <alignment vertical="center"/>
    </xf>
    <xf numFmtId="0" fontId="45" fillId="4" borderId="8" xfId="0" applyFont="1" applyFill="1" applyBorder="1" applyAlignment="1">
      <alignment horizontal="center" vertical="center"/>
    </xf>
    <xf numFmtId="0" fontId="16" fillId="4" borderId="0" xfId="0" applyFont="1" applyFill="1" applyAlignment="1">
      <alignment vertical="center"/>
    </xf>
    <xf numFmtId="6" fontId="50" fillId="4" borderId="0" xfId="0" applyNumberFormat="1" applyFont="1" applyFill="1" applyAlignment="1">
      <alignment horizontal="center" vertical="center"/>
    </xf>
    <xf numFmtId="6" fontId="18" fillId="4" borderId="0" xfId="0" applyNumberFormat="1" applyFont="1" applyFill="1" applyAlignment="1">
      <alignment horizontal="center" vertical="center"/>
    </xf>
    <xf numFmtId="0" fontId="18" fillId="4" borderId="0" xfId="0" applyFont="1" applyFill="1" applyAlignment="1">
      <alignment horizontal="left" vertical="center" indent="1"/>
    </xf>
    <xf numFmtId="170" fontId="18" fillId="4" borderId="10" xfId="0" applyNumberFormat="1" applyFont="1" applyFill="1" applyBorder="1" applyAlignment="1">
      <alignment horizontal="center" vertical="center"/>
    </xf>
    <xf numFmtId="0" fontId="45" fillId="4" borderId="0" xfId="11" applyFont="1" applyFill="1" applyAlignment="1">
      <alignment horizontal="left" indent="1"/>
    </xf>
    <xf numFmtId="170" fontId="45" fillId="4" borderId="0" xfId="8" applyNumberFormat="1" applyFont="1" applyFill="1" applyAlignment="1">
      <alignment horizontal="center"/>
    </xf>
    <xf numFmtId="0" fontId="32" fillId="4" borderId="44" xfId="0" applyFont="1" applyFill="1" applyBorder="1" applyAlignment="1">
      <alignment horizontal="center" vertical="center" textRotation="90"/>
    </xf>
    <xf numFmtId="170" fontId="32" fillId="4" borderId="0" xfId="8" applyNumberFormat="1" applyFont="1" applyFill="1" applyAlignment="1">
      <alignment horizontal="center"/>
    </xf>
    <xf numFmtId="0" fontId="32" fillId="4" borderId="0" xfId="11" applyFont="1" applyFill="1" applyAlignment="1">
      <alignment horizontal="left" indent="1"/>
    </xf>
    <xf numFmtId="166" fontId="39" fillId="4" borderId="0" xfId="8" applyNumberFormat="1" applyFont="1" applyFill="1"/>
    <xf numFmtId="0" fontId="32" fillId="4" borderId="0" xfId="0" applyFont="1" applyFill="1" applyAlignment="1">
      <alignment vertical="center"/>
    </xf>
    <xf numFmtId="0" fontId="32" fillId="4" borderId="0" xfId="0" applyFont="1" applyFill="1" applyAlignment="1">
      <alignment horizontal="left" vertical="center" indent="1"/>
    </xf>
    <xf numFmtId="0" fontId="19" fillId="15" borderId="46" xfId="0" applyFont="1" applyFill="1" applyBorder="1" applyAlignment="1">
      <alignment horizontal="center" vertical="center" wrapText="1"/>
    </xf>
    <xf numFmtId="0" fontId="32" fillId="4" borderId="0" xfId="0" applyFont="1" applyFill="1" applyAlignment="1">
      <alignment horizontal="center" vertical="center"/>
    </xf>
    <xf numFmtId="0" fontId="16" fillId="4" borderId="0" xfId="0" applyFont="1" applyFill="1" applyAlignment="1">
      <alignment horizontal="left" vertical="center"/>
    </xf>
    <xf numFmtId="0" fontId="32" fillId="4" borderId="0" xfId="0" applyFont="1" applyFill="1" applyAlignment="1">
      <alignment horizontal="left" vertical="center"/>
    </xf>
    <xf numFmtId="0" fontId="18" fillId="4" borderId="9" xfId="0" applyFont="1" applyFill="1" applyBorder="1" applyAlignment="1">
      <alignment horizontal="center" vertical="center"/>
    </xf>
    <xf numFmtId="49" fontId="32" fillId="4" borderId="16" xfId="0" applyNumberFormat="1" applyFont="1" applyFill="1" applyBorder="1" applyAlignment="1">
      <alignment horizontal="center" vertical="center"/>
    </xf>
    <xf numFmtId="49" fontId="32" fillId="4" borderId="8" xfId="0" applyNumberFormat="1" applyFont="1" applyFill="1" applyBorder="1" applyAlignment="1">
      <alignment horizontal="center" vertical="center"/>
    </xf>
    <xf numFmtId="49" fontId="32" fillId="4" borderId="9" xfId="0" applyNumberFormat="1" applyFont="1" applyFill="1" applyBorder="1" applyAlignment="1">
      <alignment horizontal="center" vertical="center"/>
    </xf>
    <xf numFmtId="49" fontId="32" fillId="4" borderId="4" xfId="0" applyNumberFormat="1" applyFont="1" applyFill="1" applyBorder="1" applyAlignment="1">
      <alignment horizontal="center" vertical="center"/>
    </xf>
    <xf numFmtId="10" fontId="18" fillId="4" borderId="9" xfId="0" applyNumberFormat="1" applyFont="1" applyFill="1" applyBorder="1" applyAlignment="1">
      <alignment horizontal="center" vertical="center"/>
    </xf>
    <xf numFmtId="49" fontId="32" fillId="4" borderId="5" xfId="0" applyNumberFormat="1" applyFont="1" applyFill="1" applyBorder="1" applyAlignment="1">
      <alignment horizontal="center" vertical="center"/>
    </xf>
    <xf numFmtId="49" fontId="32" fillId="4" borderId="0" xfId="0" applyNumberFormat="1" applyFont="1" applyFill="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5" xfId="0" applyFont="1" applyBorder="1" applyAlignment="1">
      <alignment horizontal="center" vertical="center" wrapText="1"/>
    </xf>
    <xf numFmtId="0" fontId="43" fillId="15" borderId="47" xfId="0" applyFont="1" applyFill="1" applyBorder="1" applyAlignment="1">
      <alignment horizontal="center" vertical="center"/>
    </xf>
    <xf numFmtId="0" fontId="43" fillId="15" borderId="48" xfId="0" applyFont="1" applyFill="1" applyBorder="1" applyAlignment="1">
      <alignment horizontal="center" vertical="center" wrapText="1"/>
    </xf>
    <xf numFmtId="0" fontId="43" fillId="15" borderId="49" xfId="0" applyFont="1" applyFill="1" applyBorder="1" applyAlignment="1">
      <alignment horizontal="center" vertical="center"/>
    </xf>
    <xf numFmtId="0" fontId="49" fillId="9" borderId="41" xfId="0" applyFont="1" applyFill="1" applyBorder="1" applyAlignment="1">
      <alignment horizontal="left" vertical="center" indent="1"/>
    </xf>
    <xf numFmtId="9" fontId="45" fillId="4" borderId="0" xfId="0" applyNumberFormat="1" applyFont="1" applyFill="1" applyAlignment="1">
      <alignment horizontal="left" vertical="center"/>
    </xf>
    <xf numFmtId="0" fontId="44" fillId="5" borderId="2" xfId="0" applyFont="1" applyFill="1" applyBorder="1" applyAlignment="1">
      <alignment horizontal="right" vertical="center"/>
    </xf>
    <xf numFmtId="0" fontId="4" fillId="4" borderId="0" xfId="0" applyFont="1" applyFill="1" applyAlignment="1">
      <alignment vertical="center" wrapText="1"/>
    </xf>
    <xf numFmtId="0" fontId="46" fillId="4" borderId="0" xfId="0" applyFont="1" applyFill="1"/>
    <xf numFmtId="0" fontId="45" fillId="4" borderId="0" xfId="0" applyFont="1" applyFill="1" applyAlignment="1">
      <alignment horizontal="left" vertical="center"/>
    </xf>
    <xf numFmtId="0" fontId="32" fillId="4" borderId="53" xfId="0" applyFont="1" applyFill="1" applyBorder="1" applyAlignment="1">
      <alignment horizontal="left" vertical="center" wrapText="1" indent="1"/>
    </xf>
    <xf numFmtId="0" fontId="45" fillId="4" borderId="9" xfId="0" applyFont="1" applyFill="1" applyBorder="1" applyAlignment="1">
      <alignment horizontal="center" vertical="center"/>
    </xf>
    <xf numFmtId="0" fontId="0" fillId="5" borderId="0" xfId="0" applyFill="1"/>
    <xf numFmtId="0" fontId="49" fillId="9" borderId="50" xfId="0" applyFont="1" applyFill="1" applyBorder="1" applyAlignment="1">
      <alignment horizontal="left" vertical="center" indent="1"/>
    </xf>
    <xf numFmtId="0" fontId="32" fillId="4" borderId="0" xfId="0" applyFont="1" applyFill="1"/>
    <xf numFmtId="0" fontId="53" fillId="4" borderId="0" xfId="0" applyFont="1" applyFill="1" applyAlignment="1">
      <alignment horizontal="left" vertical="center"/>
    </xf>
    <xf numFmtId="0" fontId="53" fillId="4" borderId="0" xfId="0" applyFont="1" applyFill="1"/>
    <xf numFmtId="0" fontId="41" fillId="7" borderId="0" xfId="0" applyFont="1" applyFill="1" applyAlignment="1">
      <alignment horizontal="center" vertical="center" wrapText="1"/>
    </xf>
    <xf numFmtId="0" fontId="31" fillId="4" borderId="0" xfId="0" applyFont="1" applyFill="1" applyAlignment="1">
      <alignment horizontal="center" vertical="center" wrapText="1"/>
    </xf>
    <xf numFmtId="6" fontId="28" fillId="4" borderId="0" xfId="0" applyNumberFormat="1" applyFont="1" applyFill="1" applyAlignment="1">
      <alignment horizontal="center" vertical="center"/>
    </xf>
    <xf numFmtId="0" fontId="6" fillId="4" borderId="0" xfId="0" applyFont="1" applyFill="1" applyAlignment="1">
      <alignment horizontal="left" vertical="center" indent="1"/>
    </xf>
    <xf numFmtId="0" fontId="40" fillId="4" borderId="0" xfId="0" applyFont="1" applyFill="1" applyAlignment="1">
      <alignment horizontal="left" vertical="center" wrapText="1"/>
    </xf>
    <xf numFmtId="0" fontId="6" fillId="4" borderId="0" xfId="0" applyFont="1" applyFill="1" applyAlignment="1">
      <alignment horizontal="left" vertical="center" wrapText="1" indent="1"/>
    </xf>
    <xf numFmtId="0" fontId="4" fillId="4" borderId="0" xfId="0" applyFont="1" applyFill="1" applyAlignment="1">
      <alignment horizontal="right" vertical="center" wrapText="1"/>
    </xf>
    <xf numFmtId="170" fontId="32" fillId="4" borderId="6" xfId="0" applyNumberFormat="1" applyFont="1" applyFill="1" applyBorder="1" applyAlignment="1">
      <alignment horizontal="center" vertical="center"/>
    </xf>
    <xf numFmtId="0" fontId="45" fillId="4" borderId="12" xfId="0" applyFont="1" applyFill="1" applyBorder="1" applyAlignment="1">
      <alignment horizontal="center" vertical="center"/>
    </xf>
    <xf numFmtId="0" fontId="32" fillId="4" borderId="23" xfId="0" applyFont="1" applyFill="1" applyBorder="1" applyAlignment="1">
      <alignment horizontal="left" vertical="center" wrapText="1" indent="1"/>
    </xf>
    <xf numFmtId="0" fontId="7" fillId="4" borderId="0" xfId="0" applyFont="1" applyFill="1" applyAlignment="1">
      <alignment horizontal="center" vertical="center"/>
    </xf>
    <xf numFmtId="0" fontId="18" fillId="4" borderId="0" xfId="0" applyFont="1" applyFill="1" applyAlignment="1">
      <alignment horizontal="center" vertical="center"/>
    </xf>
    <xf numFmtId="49" fontId="18" fillId="4" borderId="8" xfId="0" applyNumberFormat="1" applyFont="1" applyFill="1" applyBorder="1" applyAlignment="1">
      <alignment horizontal="center" vertical="center"/>
    </xf>
    <xf numFmtId="49" fontId="18" fillId="4" borderId="9" xfId="0" applyNumberFormat="1" applyFont="1" applyFill="1" applyBorder="1" applyAlignment="1">
      <alignment horizontal="center" vertical="center"/>
    </xf>
    <xf numFmtId="0" fontId="2" fillId="4" borderId="0" xfId="0" applyFont="1" applyFill="1" applyAlignment="1">
      <alignment horizontal="left" vertical="center" wrapText="1"/>
    </xf>
    <xf numFmtId="0" fontId="3" fillId="4" borderId="0" xfId="0" applyFont="1" applyFill="1" applyAlignment="1">
      <alignment horizontal="left" vertical="center" wrapText="1"/>
    </xf>
    <xf numFmtId="0" fontId="8" fillId="4" borderId="0" xfId="0" applyFont="1" applyFill="1" applyAlignment="1">
      <alignment horizontal="left" vertical="top" wrapText="1"/>
    </xf>
    <xf numFmtId="6" fontId="2" fillId="4" borderId="0" xfId="0" applyNumberFormat="1" applyFont="1" applyFill="1" applyAlignment="1">
      <alignment horizontal="center" vertical="center" wrapText="1"/>
    </xf>
    <xf numFmtId="170" fontId="32" fillId="13" borderId="12" xfId="0" applyNumberFormat="1" applyFont="1" applyFill="1" applyBorder="1" applyAlignment="1">
      <alignment horizontal="center" vertical="center"/>
    </xf>
    <xf numFmtId="170" fontId="32" fillId="4" borderId="17" xfId="0" applyNumberFormat="1" applyFont="1" applyFill="1" applyBorder="1" applyAlignment="1">
      <alignment horizontal="center" vertical="center"/>
    </xf>
    <xf numFmtId="0" fontId="18" fillId="4" borderId="17" xfId="0" applyFont="1" applyFill="1" applyBorder="1" applyAlignment="1">
      <alignment horizontal="center" vertical="center"/>
    </xf>
    <xf numFmtId="0" fontId="18" fillId="4" borderId="6" xfId="0" applyFont="1" applyFill="1" applyBorder="1" applyAlignment="1">
      <alignment horizontal="center" vertical="center"/>
    </xf>
    <xf numFmtId="0" fontId="32" fillId="0" borderId="51" xfId="0" applyFont="1" applyBorder="1" applyAlignment="1">
      <alignment horizontal="center" vertical="center" textRotation="90"/>
    </xf>
    <xf numFmtId="0" fontId="0" fillId="0" borderId="51" xfId="0" applyBorder="1"/>
    <xf numFmtId="0" fontId="28" fillId="4" borderId="51" xfId="0" applyFont="1" applyFill="1" applyBorder="1"/>
    <xf numFmtId="0" fontId="0" fillId="0" borderId="77" xfId="0" applyBorder="1"/>
    <xf numFmtId="0" fontId="54" fillId="0" borderId="0" xfId="0" applyFont="1"/>
    <xf numFmtId="170" fontId="18" fillId="4" borderId="75" xfId="0" applyNumberFormat="1" applyFont="1" applyFill="1" applyBorder="1" applyAlignment="1">
      <alignment horizontal="center" vertical="center"/>
    </xf>
    <xf numFmtId="0" fontId="32" fillId="4" borderId="0" xfId="0" applyFont="1" applyFill="1" applyAlignment="1">
      <alignment horizontal="left" vertical="center" wrapText="1" indent="1"/>
    </xf>
    <xf numFmtId="0" fontId="55" fillId="4" borderId="0" xfId="0" applyFont="1" applyFill="1" applyAlignment="1">
      <alignment vertical="center"/>
    </xf>
    <xf numFmtId="0" fontId="56" fillId="4" borderId="0" xfId="0" applyFont="1" applyFill="1" applyAlignment="1">
      <alignment horizontal="left" vertical="center"/>
    </xf>
    <xf numFmtId="0" fontId="49" fillId="4" borderId="0" xfId="0" applyFont="1" applyFill="1" applyAlignment="1">
      <alignment horizontal="center" vertical="center"/>
    </xf>
    <xf numFmtId="170" fontId="45" fillId="4" borderId="0" xfId="0" applyNumberFormat="1" applyFont="1" applyFill="1" applyAlignment="1">
      <alignment horizontal="right" vertical="center" indent="2"/>
    </xf>
    <xf numFmtId="170" fontId="45" fillId="4" borderId="26" xfId="0" applyNumberFormat="1" applyFont="1" applyFill="1" applyBorder="1" applyAlignment="1">
      <alignment horizontal="right" vertical="center" indent="1"/>
    </xf>
    <xf numFmtId="0" fontId="32" fillId="13" borderId="33" xfId="0" applyFont="1" applyFill="1" applyBorder="1" applyAlignment="1">
      <alignment horizontal="left" vertical="center" wrapText="1" indent="1"/>
    </xf>
    <xf numFmtId="0" fontId="32" fillId="13" borderId="28" xfId="0" applyFont="1" applyFill="1" applyBorder="1" applyAlignment="1">
      <alignment horizontal="left" vertical="center" wrapText="1" indent="1"/>
    </xf>
    <xf numFmtId="0" fontId="32" fillId="13" borderId="2" xfId="0" applyFont="1" applyFill="1" applyBorder="1" applyAlignment="1">
      <alignment horizontal="left" vertical="center" wrapText="1" indent="1"/>
    </xf>
    <xf numFmtId="0" fontId="32" fillId="13" borderId="11" xfId="0" applyFont="1" applyFill="1" applyBorder="1" applyAlignment="1">
      <alignment horizontal="left" vertical="center" wrapText="1" indent="1"/>
    </xf>
    <xf numFmtId="0" fontId="32" fillId="13" borderId="21" xfId="0" applyFont="1" applyFill="1" applyBorder="1" applyAlignment="1">
      <alignment horizontal="left" vertical="center" wrapText="1" indent="1"/>
    </xf>
    <xf numFmtId="0" fontId="32" fillId="13" borderId="7" xfId="0" applyFont="1" applyFill="1" applyBorder="1" applyAlignment="1">
      <alignment horizontal="left" vertical="center" wrapText="1" indent="1"/>
    </xf>
    <xf numFmtId="0" fontId="32" fillId="13" borderId="2" xfId="7" applyFont="1" applyFill="1" applyBorder="1" applyAlignment="1">
      <alignment horizontal="left" vertical="center" wrapText="1" indent="1"/>
    </xf>
    <xf numFmtId="0" fontId="32" fillId="13" borderId="11" xfId="7" applyFont="1" applyFill="1" applyBorder="1" applyAlignment="1">
      <alignment horizontal="left" vertical="center" wrapText="1" indent="1"/>
    </xf>
    <xf numFmtId="0" fontId="32" fillId="13" borderId="33" xfId="7" applyFont="1" applyFill="1" applyBorder="1" applyAlignment="1">
      <alignment horizontal="left" vertical="center" wrapText="1" indent="1"/>
    </xf>
    <xf numFmtId="0" fontId="32" fillId="13" borderId="28" xfId="7" applyFont="1" applyFill="1" applyBorder="1" applyAlignment="1">
      <alignment horizontal="left" vertical="center" wrapText="1" indent="1"/>
    </xf>
    <xf numFmtId="0" fontId="32" fillId="13" borderId="21" xfId="7" applyFont="1" applyFill="1" applyBorder="1" applyAlignment="1">
      <alignment horizontal="left" vertical="center" wrapText="1" indent="1"/>
    </xf>
    <xf numFmtId="0" fontId="32" fillId="13" borderId="7" xfId="7" applyFont="1" applyFill="1" applyBorder="1" applyAlignment="1">
      <alignment horizontal="left" vertical="center" wrapText="1" indent="1"/>
    </xf>
    <xf numFmtId="0" fontId="32" fillId="4" borderId="0" xfId="0" applyFont="1" applyFill="1" applyAlignment="1">
      <alignment horizontal="left" wrapText="1"/>
    </xf>
    <xf numFmtId="0" fontId="28" fillId="4" borderId="79" xfId="0" applyFont="1" applyFill="1" applyBorder="1"/>
    <xf numFmtId="0" fontId="32" fillId="13" borderId="29" xfId="0" applyFont="1" applyFill="1" applyBorder="1" applyAlignment="1">
      <alignment horizontal="left" vertical="center" wrapText="1" indent="1"/>
    </xf>
    <xf numFmtId="0" fontId="32" fillId="13" borderId="12" xfId="0" applyFont="1" applyFill="1" applyBorder="1" applyAlignment="1">
      <alignment horizontal="left" vertical="center" wrapText="1" indent="1"/>
    </xf>
    <xf numFmtId="170" fontId="45" fillId="13" borderId="6" xfId="0" applyNumberFormat="1" applyFont="1" applyFill="1" applyBorder="1" applyAlignment="1">
      <alignment horizontal="center" vertical="center"/>
    </xf>
    <xf numFmtId="170" fontId="32" fillId="4" borderId="30" xfId="0" applyNumberFormat="1" applyFont="1" applyFill="1" applyBorder="1" applyAlignment="1">
      <alignment horizontal="center" vertical="center"/>
    </xf>
    <xf numFmtId="170" fontId="32" fillId="4" borderId="18" xfId="0" applyNumberFormat="1" applyFont="1" applyFill="1" applyBorder="1" applyAlignment="1">
      <alignment horizontal="center" vertical="center"/>
    </xf>
    <xf numFmtId="170" fontId="32" fillId="13" borderId="19" xfId="0" applyNumberFormat="1" applyFont="1" applyFill="1" applyBorder="1" applyAlignment="1">
      <alignment horizontal="center" vertical="center"/>
    </xf>
    <xf numFmtId="170" fontId="32" fillId="13" borderId="28" xfId="0" applyNumberFormat="1" applyFont="1" applyFill="1" applyBorder="1" applyAlignment="1">
      <alignment horizontal="center" vertical="center"/>
    </xf>
    <xf numFmtId="170" fontId="32" fillId="13" borderId="19" xfId="0" applyNumberFormat="1" applyFont="1" applyFill="1" applyBorder="1" applyAlignment="1">
      <alignment horizontal="center" vertical="center" wrapText="1"/>
    </xf>
    <xf numFmtId="170" fontId="45" fillId="4" borderId="30" xfId="0" applyNumberFormat="1" applyFont="1" applyFill="1" applyBorder="1" applyAlignment="1">
      <alignment horizontal="center" vertical="center" wrapText="1"/>
    </xf>
    <xf numFmtId="170" fontId="32" fillId="13" borderId="6" xfId="0" applyNumberFormat="1" applyFont="1" applyFill="1" applyBorder="1" applyAlignment="1">
      <alignment horizontal="center" vertical="center" wrapText="1"/>
    </xf>
    <xf numFmtId="170" fontId="32" fillId="13" borderId="7" xfId="0" applyNumberFormat="1" applyFont="1" applyFill="1" applyBorder="1" applyAlignment="1">
      <alignment horizontal="center" vertical="center" wrapText="1"/>
    </xf>
    <xf numFmtId="170" fontId="32" fillId="13" borderId="22" xfId="0" applyNumberFormat="1" applyFont="1" applyFill="1" applyBorder="1" applyAlignment="1">
      <alignment horizontal="center" vertical="center" wrapText="1"/>
    </xf>
    <xf numFmtId="170" fontId="32" fillId="4" borderId="78" xfId="0" applyNumberFormat="1" applyFont="1" applyFill="1" applyBorder="1" applyAlignment="1">
      <alignment horizontal="center" vertical="center"/>
    </xf>
    <xf numFmtId="170" fontId="32" fillId="4" borderId="30" xfId="0" applyNumberFormat="1" applyFont="1" applyFill="1" applyBorder="1" applyAlignment="1">
      <alignment horizontal="center" vertical="center" wrapText="1"/>
    </xf>
    <xf numFmtId="170" fontId="18" fillId="4" borderId="30" xfId="0" applyNumberFormat="1" applyFont="1" applyFill="1" applyBorder="1" applyAlignment="1">
      <alignment horizontal="center" vertical="center"/>
    </xf>
    <xf numFmtId="170" fontId="45" fillId="4" borderId="30" xfId="0" applyNumberFormat="1" applyFont="1" applyFill="1" applyBorder="1" applyAlignment="1">
      <alignment horizontal="center" vertical="center"/>
    </xf>
    <xf numFmtId="170" fontId="45" fillId="4" borderId="23" xfId="0" applyNumberFormat="1" applyFont="1" applyFill="1" applyBorder="1" applyAlignment="1">
      <alignment horizontal="center" vertical="center"/>
    </xf>
    <xf numFmtId="170" fontId="32" fillId="13" borderId="6" xfId="0" applyNumberFormat="1" applyFont="1" applyFill="1" applyBorder="1" applyAlignment="1">
      <alignment horizontal="center" vertical="center"/>
    </xf>
    <xf numFmtId="170" fontId="32" fillId="13" borderId="7" xfId="0" applyNumberFormat="1" applyFont="1" applyFill="1" applyBorder="1" applyAlignment="1">
      <alignment horizontal="center" vertical="center"/>
    </xf>
    <xf numFmtId="170" fontId="32" fillId="13" borderId="22" xfId="0" applyNumberFormat="1" applyFont="1" applyFill="1" applyBorder="1" applyAlignment="1">
      <alignment horizontal="center" vertical="center"/>
    </xf>
    <xf numFmtId="170" fontId="32" fillId="13" borderId="13" xfId="0" applyNumberFormat="1" applyFont="1" applyFill="1" applyBorder="1" applyAlignment="1">
      <alignment horizontal="center" vertical="center"/>
    </xf>
    <xf numFmtId="170" fontId="60" fillId="4" borderId="43" xfId="0" applyNumberFormat="1" applyFont="1" applyFill="1" applyBorder="1" applyAlignment="1">
      <alignment horizontal="center" vertical="center"/>
    </xf>
    <xf numFmtId="170" fontId="60" fillId="4" borderId="23" xfId="0" applyNumberFormat="1" applyFont="1" applyFill="1" applyBorder="1" applyAlignment="1">
      <alignment horizontal="center" vertical="center"/>
    </xf>
    <xf numFmtId="170" fontId="61" fillId="4" borderId="23" xfId="0" applyNumberFormat="1" applyFont="1" applyFill="1" applyBorder="1" applyAlignment="1">
      <alignment horizontal="center" vertical="center" wrapText="1"/>
    </xf>
    <xf numFmtId="170" fontId="60" fillId="4" borderId="23" xfId="0" applyNumberFormat="1" applyFont="1" applyFill="1" applyBorder="1" applyAlignment="1">
      <alignment horizontal="center" vertical="center" wrapText="1"/>
    </xf>
    <xf numFmtId="170" fontId="61" fillId="4" borderId="23" xfId="0" applyNumberFormat="1" applyFont="1" applyFill="1" applyBorder="1" applyAlignment="1">
      <alignment horizontal="center" vertical="center"/>
    </xf>
    <xf numFmtId="170" fontId="60" fillId="13" borderId="28" xfId="0" applyNumberFormat="1" applyFont="1" applyFill="1" applyBorder="1" applyAlignment="1">
      <alignment horizontal="center" vertical="center"/>
    </xf>
    <xf numFmtId="170" fontId="60" fillId="13" borderId="13" xfId="0" applyNumberFormat="1" applyFont="1" applyFill="1" applyBorder="1" applyAlignment="1">
      <alignment horizontal="center" vertical="center"/>
    </xf>
    <xf numFmtId="170" fontId="60" fillId="13" borderId="28" xfId="0" applyNumberFormat="1" applyFont="1" applyFill="1" applyBorder="1" applyAlignment="1">
      <alignment horizontal="center" vertical="center" wrapText="1"/>
    </xf>
    <xf numFmtId="170" fontId="60" fillId="13" borderId="7" xfId="0" applyNumberFormat="1" applyFont="1" applyFill="1" applyBorder="1" applyAlignment="1">
      <alignment horizontal="center" vertical="center" wrapText="1"/>
    </xf>
    <xf numFmtId="170" fontId="60" fillId="13" borderId="13" xfId="0" applyNumberFormat="1" applyFont="1" applyFill="1" applyBorder="1" applyAlignment="1">
      <alignment horizontal="center" vertical="center" wrapText="1"/>
    </xf>
    <xf numFmtId="170" fontId="60" fillId="13" borderId="7" xfId="0" applyNumberFormat="1" applyFont="1" applyFill="1" applyBorder="1" applyAlignment="1">
      <alignment horizontal="center" vertical="center"/>
    </xf>
    <xf numFmtId="170" fontId="60" fillId="4" borderId="11" xfId="0" applyNumberFormat="1" applyFont="1" applyFill="1" applyBorder="1" applyAlignment="1">
      <alignment horizontal="center" vertical="center"/>
    </xf>
    <xf numFmtId="170" fontId="32" fillId="13" borderId="2" xfId="0" applyNumberFormat="1" applyFont="1" applyFill="1" applyBorder="1" applyAlignment="1">
      <alignment horizontal="center" vertical="center"/>
    </xf>
    <xf numFmtId="0" fontId="40" fillId="5" borderId="2" xfId="0" applyFont="1" applyFill="1" applyBorder="1"/>
    <xf numFmtId="170" fontId="45" fillId="4" borderId="0" xfId="0" applyNumberFormat="1" applyFont="1" applyFill="1" applyAlignment="1">
      <alignment horizontal="right" vertical="center" indent="1"/>
    </xf>
    <xf numFmtId="0" fontId="44" fillId="5" borderId="2" xfId="0" applyFont="1" applyFill="1" applyBorder="1" applyAlignment="1">
      <alignment horizontal="right"/>
    </xf>
    <xf numFmtId="0" fontId="24" fillId="4" borderId="0" xfId="5" applyFill="1" applyBorder="1" applyAlignment="1">
      <alignment horizontal="left" vertical="center"/>
    </xf>
    <xf numFmtId="0" fontId="45" fillId="4" borderId="0" xfId="0" applyFont="1" applyFill="1" applyAlignment="1">
      <alignment horizontal="center" vertical="center"/>
    </xf>
    <xf numFmtId="0" fontId="53" fillId="4" borderId="0" xfId="0" applyFont="1" applyFill="1" applyAlignment="1">
      <alignment horizontal="left" vertical="center" indent="1"/>
    </xf>
    <xf numFmtId="0" fontId="45" fillId="4" borderId="0" xfId="0" applyFont="1" applyFill="1" applyAlignment="1">
      <alignment vertical="center"/>
    </xf>
    <xf numFmtId="170" fontId="45" fillId="4" borderId="0" xfId="0" applyNumberFormat="1" applyFont="1" applyFill="1" applyAlignment="1">
      <alignment horizontal="center" vertical="center"/>
    </xf>
    <xf numFmtId="0" fontId="45" fillId="4" borderId="5" xfId="0" applyFont="1" applyFill="1" applyBorder="1" applyAlignment="1">
      <alignment horizontal="center" vertical="center"/>
    </xf>
    <xf numFmtId="0" fontId="28" fillId="9" borderId="0" xfId="0" applyFont="1" applyFill="1"/>
    <xf numFmtId="170" fontId="18" fillId="4" borderId="18" xfId="0" applyNumberFormat="1" applyFont="1" applyFill="1" applyBorder="1" applyAlignment="1">
      <alignment horizontal="center" vertical="center"/>
    </xf>
    <xf numFmtId="170" fontId="18" fillId="4" borderId="83" xfId="0" applyNumberFormat="1" applyFont="1" applyFill="1" applyBorder="1" applyAlignment="1">
      <alignment horizontal="center" vertical="center"/>
    </xf>
    <xf numFmtId="0" fontId="32" fillId="4" borderId="11" xfId="0" applyFont="1" applyFill="1" applyBorder="1" applyAlignment="1">
      <alignment horizontal="left" vertical="center" wrapText="1" indent="1"/>
    </xf>
    <xf numFmtId="0" fontId="28" fillId="4" borderId="18" xfId="0" applyFont="1" applyFill="1" applyBorder="1" applyAlignment="1">
      <alignment horizontal="center" vertical="center"/>
    </xf>
    <xf numFmtId="0" fontId="28" fillId="4" borderId="2" xfId="0" applyFont="1" applyFill="1" applyBorder="1" applyAlignment="1">
      <alignment horizontal="center" vertical="center"/>
    </xf>
    <xf numFmtId="170" fontId="32" fillId="13" borderId="18" xfId="0" applyNumberFormat="1" applyFont="1" applyFill="1" applyBorder="1" applyAlignment="1">
      <alignment horizontal="center" vertical="center"/>
    </xf>
    <xf numFmtId="170" fontId="32" fillId="13" borderId="33" xfId="0" applyNumberFormat="1" applyFont="1" applyFill="1" applyBorder="1" applyAlignment="1">
      <alignment horizontal="center" vertical="center"/>
    </xf>
    <xf numFmtId="170" fontId="32" fillId="13" borderId="21" xfId="0" applyNumberFormat="1" applyFont="1" applyFill="1" applyBorder="1" applyAlignment="1">
      <alignment horizontal="center" vertical="center"/>
    </xf>
    <xf numFmtId="170" fontId="32" fillId="13" borderId="31" xfId="0" applyNumberFormat="1" applyFont="1" applyFill="1" applyBorder="1" applyAlignment="1">
      <alignment horizontal="center" vertical="center"/>
    </xf>
    <xf numFmtId="0" fontId="62" fillId="4" borderId="11" xfId="0" applyFont="1" applyFill="1" applyBorder="1" applyAlignment="1">
      <alignment horizontal="center" vertical="center"/>
    </xf>
    <xf numFmtId="0" fontId="62" fillId="13" borderId="1" xfId="0" applyFont="1" applyFill="1" applyBorder="1" applyAlignment="1">
      <alignment horizontal="center" vertical="center"/>
    </xf>
    <xf numFmtId="0" fontId="62" fillId="13" borderId="13" xfId="0" applyFont="1" applyFill="1" applyBorder="1" applyAlignment="1">
      <alignment horizontal="center" vertical="center"/>
    </xf>
    <xf numFmtId="0" fontId="62" fillId="4" borderId="1" xfId="0" applyFont="1" applyFill="1" applyBorder="1" applyAlignment="1">
      <alignment horizontal="center" vertical="center"/>
    </xf>
    <xf numFmtId="0" fontId="62" fillId="13" borderId="28" xfId="0" applyFont="1" applyFill="1" applyBorder="1" applyAlignment="1">
      <alignment horizontal="center" vertical="center"/>
    </xf>
    <xf numFmtId="0" fontId="62" fillId="13" borderId="7" xfId="0" applyFont="1" applyFill="1" applyBorder="1" applyAlignment="1">
      <alignment horizontal="center" vertical="center"/>
    </xf>
    <xf numFmtId="0" fontId="62" fillId="13" borderId="11" xfId="0" applyFont="1" applyFill="1" applyBorder="1" applyAlignment="1">
      <alignment horizontal="center" vertical="center"/>
    </xf>
    <xf numFmtId="0" fontId="62" fillId="4" borderId="23" xfId="0" applyFont="1" applyFill="1" applyBorder="1" applyAlignment="1">
      <alignment horizontal="center" vertical="center"/>
    </xf>
    <xf numFmtId="0" fontId="63" fillId="4" borderId="11" xfId="0" applyFont="1" applyFill="1" applyBorder="1" applyAlignment="1">
      <alignment horizontal="center" vertical="center"/>
    </xf>
    <xf numFmtId="0" fontId="63" fillId="13" borderId="1" xfId="0" applyFont="1" applyFill="1" applyBorder="1" applyAlignment="1">
      <alignment horizontal="center" vertical="center"/>
    </xf>
    <xf numFmtId="0" fontId="63" fillId="13" borderId="13" xfId="0" applyFont="1" applyFill="1" applyBorder="1" applyAlignment="1">
      <alignment horizontal="center" vertical="center"/>
    </xf>
    <xf numFmtId="0" fontId="63" fillId="4" borderId="1" xfId="0" applyFont="1" applyFill="1" applyBorder="1" applyAlignment="1">
      <alignment horizontal="center" vertical="center"/>
    </xf>
    <xf numFmtId="0" fontId="63" fillId="13" borderId="28" xfId="0" applyFont="1" applyFill="1" applyBorder="1" applyAlignment="1">
      <alignment horizontal="center" vertical="center"/>
    </xf>
    <xf numFmtId="0" fontId="63" fillId="13" borderId="7" xfId="0" applyFont="1" applyFill="1" applyBorder="1" applyAlignment="1">
      <alignment horizontal="center" vertical="center"/>
    </xf>
    <xf numFmtId="0" fontId="63" fillId="13" borderId="11" xfId="0" applyFont="1" applyFill="1" applyBorder="1" applyAlignment="1">
      <alignment horizontal="center" vertical="center"/>
    </xf>
    <xf numFmtId="0" fontId="64" fillId="4" borderId="11" xfId="0" applyFont="1" applyFill="1" applyBorder="1" applyAlignment="1">
      <alignment horizontal="center" vertical="center"/>
    </xf>
    <xf numFmtId="0" fontId="64" fillId="13" borderId="28" xfId="0" applyFont="1" applyFill="1" applyBorder="1" applyAlignment="1">
      <alignment horizontal="center" vertical="center"/>
    </xf>
    <xf numFmtId="0" fontId="64" fillId="13" borderId="7" xfId="0" applyFont="1" applyFill="1" applyBorder="1" applyAlignment="1">
      <alignment horizontal="center" vertical="center"/>
    </xf>
    <xf numFmtId="0" fontId="64" fillId="13" borderId="11" xfId="0" applyFont="1" applyFill="1" applyBorder="1" applyAlignment="1">
      <alignment horizontal="center" vertical="center"/>
    </xf>
    <xf numFmtId="0" fontId="63" fillId="4" borderId="23" xfId="0" applyFont="1" applyFill="1" applyBorder="1" applyAlignment="1">
      <alignment horizontal="center" vertical="center"/>
    </xf>
    <xf numFmtId="6" fontId="62" fillId="4" borderId="23" xfId="0" applyNumberFormat="1" applyFont="1" applyFill="1" applyBorder="1" applyAlignment="1">
      <alignment horizontal="center" vertical="center"/>
    </xf>
    <xf numFmtId="6" fontId="62" fillId="4" borderId="11" xfId="0" applyNumberFormat="1" applyFont="1" applyFill="1" applyBorder="1" applyAlignment="1">
      <alignment horizontal="center" vertical="center"/>
    </xf>
    <xf numFmtId="6" fontId="62" fillId="13" borderId="28" xfId="0" applyNumberFormat="1" applyFont="1" applyFill="1" applyBorder="1" applyAlignment="1">
      <alignment horizontal="center" vertical="center"/>
    </xf>
    <xf numFmtId="6" fontId="62" fillId="13" borderId="7" xfId="0" applyNumberFormat="1" applyFont="1" applyFill="1" applyBorder="1" applyAlignment="1">
      <alignment horizontal="center" vertical="center"/>
    </xf>
    <xf numFmtId="6" fontId="62" fillId="13" borderId="11" xfId="0" applyNumberFormat="1" applyFont="1" applyFill="1" applyBorder="1" applyAlignment="1">
      <alignment horizontal="center" vertical="center"/>
    </xf>
    <xf numFmtId="0" fontId="28" fillId="4" borderId="0" xfId="0" applyFont="1" applyFill="1" applyAlignment="1">
      <alignment horizontal="center"/>
    </xf>
    <xf numFmtId="170" fontId="18" fillId="0" borderId="82" xfId="31" applyNumberFormat="1" applyFont="1" applyFill="1" applyBorder="1" applyAlignment="1">
      <alignment horizontal="center" vertical="center"/>
    </xf>
    <xf numFmtId="0" fontId="61" fillId="4" borderId="2" xfId="0" applyFont="1" applyFill="1" applyBorder="1" applyAlignment="1">
      <alignment horizontal="left" vertical="center" wrapText="1" indent="1"/>
    </xf>
    <xf numFmtId="172" fontId="61" fillId="4" borderId="0" xfId="0" applyNumberFormat="1" applyFont="1" applyFill="1" applyAlignment="1">
      <alignment horizontal="center" vertical="center"/>
    </xf>
    <xf numFmtId="0" fontId="32" fillId="4" borderId="79" xfId="0" applyFont="1" applyFill="1" applyBorder="1" applyAlignment="1">
      <alignment vertical="center" textRotation="90"/>
    </xf>
    <xf numFmtId="0" fontId="49" fillId="9" borderId="86" xfId="0" applyFont="1" applyFill="1" applyBorder="1" applyAlignment="1">
      <alignment horizontal="left" vertical="center" wrapText="1" indent="1"/>
    </xf>
    <xf numFmtId="0" fontId="43" fillId="15" borderId="61" xfId="0" applyFont="1" applyFill="1" applyBorder="1" applyAlignment="1">
      <alignment vertical="center" wrapText="1"/>
    </xf>
    <xf numFmtId="0" fontId="43" fillId="15" borderId="35" xfId="0" applyFont="1" applyFill="1" applyBorder="1" applyAlignment="1">
      <alignment vertical="center" wrapText="1"/>
    </xf>
    <xf numFmtId="0" fontId="43" fillId="15" borderId="46" xfId="0" applyFont="1" applyFill="1" applyBorder="1" applyAlignment="1">
      <alignment horizontal="center" vertical="center" wrapText="1"/>
    </xf>
    <xf numFmtId="170" fontId="32" fillId="13" borderId="17" xfId="0" applyNumberFormat="1" applyFont="1" applyFill="1" applyBorder="1" applyAlignment="1">
      <alignment horizontal="center" vertical="center" wrapText="1"/>
    </xf>
    <xf numFmtId="170" fontId="60" fillId="13" borderId="12" xfId="0" applyNumberFormat="1" applyFont="1" applyFill="1" applyBorder="1" applyAlignment="1">
      <alignment horizontal="center" vertical="center" wrapText="1"/>
    </xf>
    <xf numFmtId="170" fontId="32" fillId="13" borderId="17" xfId="0" applyNumberFormat="1" applyFont="1" applyFill="1" applyBorder="1" applyAlignment="1">
      <alignment horizontal="center" vertical="center"/>
    </xf>
    <xf numFmtId="0" fontId="62" fillId="13" borderId="12" xfId="0" applyFont="1" applyFill="1" applyBorder="1" applyAlignment="1">
      <alignment horizontal="center" vertical="center"/>
    </xf>
    <xf numFmtId="0" fontId="63" fillId="13" borderId="12" xfId="0" applyFont="1" applyFill="1" applyBorder="1" applyAlignment="1">
      <alignment horizontal="center" vertical="center"/>
    </xf>
    <xf numFmtId="170" fontId="45" fillId="4" borderId="8" xfId="8" applyNumberFormat="1" applyFont="1" applyFill="1" applyBorder="1" applyAlignment="1">
      <alignment horizontal="center" vertical="center"/>
    </xf>
    <xf numFmtId="170" fontId="45" fillId="4" borderId="12" xfId="8" applyNumberFormat="1" applyFont="1" applyFill="1" applyBorder="1" applyAlignment="1">
      <alignment horizontal="center" vertical="center"/>
    </xf>
    <xf numFmtId="170" fontId="45" fillId="4" borderId="9" xfId="8" applyNumberFormat="1" applyFont="1" applyFill="1" applyBorder="1" applyAlignment="1">
      <alignment horizontal="center" vertical="center"/>
    </xf>
    <xf numFmtId="170" fontId="45" fillId="4" borderId="7" xfId="8" applyNumberFormat="1" applyFont="1" applyFill="1" applyBorder="1" applyAlignment="1">
      <alignment horizontal="center" vertical="center"/>
    </xf>
    <xf numFmtId="170" fontId="45" fillId="4" borderId="10" xfId="8" applyNumberFormat="1" applyFont="1" applyFill="1" applyBorder="1" applyAlignment="1">
      <alignment horizontal="center" vertical="center"/>
    </xf>
    <xf numFmtId="170" fontId="45" fillId="4" borderId="11" xfId="8" applyNumberFormat="1" applyFont="1" applyFill="1" applyBorder="1" applyAlignment="1">
      <alignment horizontal="center" vertical="center"/>
    </xf>
    <xf numFmtId="0" fontId="18" fillId="0" borderId="88" xfId="0" applyFont="1" applyBorder="1" applyAlignment="1">
      <alignment horizontal="left" vertical="center" indent="1"/>
    </xf>
    <xf numFmtId="0" fontId="18" fillId="0" borderId="15" xfId="0" applyFont="1" applyBorder="1" applyAlignment="1">
      <alignment horizontal="left" vertical="center" indent="1"/>
    </xf>
    <xf numFmtId="0" fontId="18" fillId="0" borderId="15" xfId="0" applyFont="1" applyBorder="1" applyAlignment="1">
      <alignment horizontal="left" vertical="center" wrapText="1" indent="1"/>
    </xf>
    <xf numFmtId="0" fontId="18" fillId="4" borderId="15" xfId="0" applyFont="1" applyFill="1" applyBorder="1" applyAlignment="1">
      <alignment horizontal="left" vertical="center" wrapText="1" indent="1"/>
    </xf>
    <xf numFmtId="49" fontId="18" fillId="0" borderId="15" xfId="0" applyNumberFormat="1" applyFont="1" applyBorder="1" applyAlignment="1">
      <alignment horizontal="center" vertical="center"/>
    </xf>
    <xf numFmtId="0" fontId="18" fillId="0" borderId="10" xfId="0" applyFont="1" applyBorder="1" applyAlignment="1">
      <alignment horizontal="left" vertical="center" indent="1"/>
    </xf>
    <xf numFmtId="0" fontId="18" fillId="0" borderId="88" xfId="0" applyFont="1" applyBorder="1" applyAlignment="1">
      <alignment horizontal="left" vertical="center" wrapText="1" indent="1"/>
    </xf>
    <xf numFmtId="0" fontId="32" fillId="4" borderId="2" xfId="0" applyFont="1" applyFill="1" applyBorder="1" applyAlignment="1">
      <alignment horizontal="left" vertical="center" wrapText="1" indent="1"/>
    </xf>
    <xf numFmtId="0" fontId="32" fillId="4" borderId="29" xfId="0" applyFont="1" applyFill="1" applyBorder="1" applyAlignment="1">
      <alignment horizontal="left" vertical="center" wrapText="1" indent="1"/>
    </xf>
    <xf numFmtId="170" fontId="18" fillId="4" borderId="6" xfId="0" applyNumberFormat="1" applyFont="1" applyFill="1" applyBorder="1" applyAlignment="1">
      <alignment horizontal="center" vertical="center"/>
    </xf>
    <xf numFmtId="170" fontId="18" fillId="4" borderId="22" xfId="0" applyNumberFormat="1" applyFont="1" applyFill="1" applyBorder="1" applyAlignment="1">
      <alignment horizontal="center" vertical="center"/>
    </xf>
    <xf numFmtId="0" fontId="18" fillId="4" borderId="11" xfId="0" applyFont="1" applyFill="1" applyBorder="1" applyAlignment="1">
      <alignment horizontal="center" vertical="center"/>
    </xf>
    <xf numFmtId="170" fontId="18" fillId="4" borderId="11" xfId="0" applyNumberFormat="1" applyFont="1" applyFill="1" applyBorder="1" applyAlignment="1">
      <alignment horizontal="center" vertical="center"/>
    </xf>
    <xf numFmtId="6" fontId="18" fillId="4" borderId="22" xfId="0" applyNumberFormat="1" applyFont="1" applyFill="1" applyBorder="1" applyAlignment="1">
      <alignment horizontal="center" vertical="center"/>
    </xf>
    <xf numFmtId="6" fontId="18" fillId="4" borderId="6" xfId="0" applyNumberFormat="1" applyFont="1" applyFill="1" applyBorder="1" applyAlignment="1">
      <alignment horizontal="center" vertical="center"/>
    </xf>
    <xf numFmtId="6" fontId="18" fillId="4" borderId="17" xfId="0" applyNumberFormat="1" applyFont="1" applyFill="1" applyBorder="1" applyAlignment="1">
      <alignment horizontal="center" vertical="center"/>
    </xf>
    <xf numFmtId="172" fontId="65" fillId="4" borderId="81" xfId="0" applyNumberFormat="1" applyFont="1" applyFill="1" applyBorder="1" applyAlignment="1">
      <alignment horizontal="center" vertical="center"/>
    </xf>
    <xf numFmtId="172" fontId="65" fillId="4" borderId="53" xfId="0" applyNumberFormat="1" applyFont="1" applyFill="1" applyBorder="1" applyAlignment="1">
      <alignment horizontal="center" vertical="center"/>
    </xf>
    <xf numFmtId="170" fontId="66" fillId="4" borderId="3" xfId="0" applyNumberFormat="1" applyFont="1" applyFill="1" applyBorder="1" applyAlignment="1">
      <alignment horizontal="center" vertical="center"/>
    </xf>
    <xf numFmtId="170" fontId="66" fillId="4" borderId="18" xfId="0" applyNumberFormat="1" applyFont="1" applyFill="1" applyBorder="1" applyAlignment="1">
      <alignment horizontal="center" vertical="center"/>
    </xf>
    <xf numFmtId="170" fontId="65" fillId="4" borderId="29" xfId="0" applyNumberFormat="1" applyFont="1" applyFill="1" applyBorder="1" applyAlignment="1">
      <alignment horizontal="center" vertical="center"/>
    </xf>
    <xf numFmtId="170" fontId="65" fillId="4" borderId="12" xfId="0" applyNumberFormat="1" applyFont="1" applyFill="1" applyBorder="1" applyAlignment="1">
      <alignment horizontal="center" vertical="center"/>
    </xf>
    <xf numFmtId="170" fontId="65" fillId="4" borderId="21" xfId="0" applyNumberFormat="1" applyFont="1" applyFill="1" applyBorder="1" applyAlignment="1">
      <alignment horizontal="center" vertical="center"/>
    </xf>
    <xf numFmtId="170" fontId="65" fillId="4" borderId="7" xfId="0" applyNumberFormat="1" applyFont="1" applyFill="1" applyBorder="1" applyAlignment="1">
      <alignment horizontal="center" vertical="center"/>
    </xf>
    <xf numFmtId="170" fontId="65" fillId="4" borderId="31" xfId="0" applyNumberFormat="1" applyFont="1" applyFill="1" applyBorder="1" applyAlignment="1">
      <alignment horizontal="center" vertical="center"/>
    </xf>
    <xf numFmtId="170" fontId="65" fillId="4" borderId="13" xfId="0" applyNumberFormat="1" applyFont="1" applyFill="1" applyBorder="1" applyAlignment="1">
      <alignment horizontal="center" vertical="center"/>
    </xf>
    <xf numFmtId="170" fontId="65" fillId="4" borderId="17" xfId="0" applyNumberFormat="1" applyFont="1" applyFill="1" applyBorder="1" applyAlignment="1">
      <alignment horizontal="center" vertical="center"/>
    </xf>
    <xf numFmtId="170" fontId="65" fillId="4" borderId="6" xfId="0" applyNumberFormat="1" applyFont="1" applyFill="1" applyBorder="1" applyAlignment="1">
      <alignment horizontal="center" vertical="center"/>
    </xf>
    <xf numFmtId="170" fontId="65" fillId="4" borderId="22" xfId="0" applyNumberFormat="1" applyFont="1" applyFill="1" applyBorder="1" applyAlignment="1">
      <alignment horizontal="center" vertical="center"/>
    </xf>
    <xf numFmtId="170" fontId="65" fillId="4" borderId="11" xfId="0" applyNumberFormat="1" applyFont="1" applyFill="1" applyBorder="1" applyAlignment="1">
      <alignment horizontal="center" vertical="center"/>
    </xf>
    <xf numFmtId="170" fontId="65" fillId="4" borderId="76" xfId="0" applyNumberFormat="1" applyFont="1" applyFill="1" applyBorder="1" applyAlignment="1">
      <alignment horizontal="center" vertical="center"/>
    </xf>
    <xf numFmtId="170" fontId="18" fillId="0" borderId="85" xfId="31" applyNumberFormat="1" applyFont="1" applyFill="1" applyBorder="1" applyAlignment="1">
      <alignment horizontal="center" vertical="center"/>
    </xf>
    <xf numFmtId="0" fontId="32" fillId="4" borderId="10" xfId="0" applyFont="1" applyFill="1" applyBorder="1" applyAlignment="1">
      <alignment horizontal="center" vertical="center"/>
    </xf>
    <xf numFmtId="0" fontId="32" fillId="4" borderId="27" xfId="0" applyFont="1" applyFill="1" applyBorder="1" applyAlignment="1">
      <alignment horizontal="left" vertical="center" wrapText="1" indent="1"/>
    </xf>
    <xf numFmtId="170" fontId="65" fillId="4" borderId="84" xfId="0" applyNumberFormat="1" applyFont="1" applyFill="1" applyBorder="1" applyAlignment="1">
      <alignment horizontal="center" vertical="center"/>
    </xf>
    <xf numFmtId="170" fontId="65" fillId="4" borderId="53" xfId="0" applyNumberFormat="1" applyFont="1" applyFill="1" applyBorder="1" applyAlignment="1">
      <alignment horizontal="center" vertical="center"/>
    </xf>
    <xf numFmtId="170" fontId="65" fillId="4" borderId="81" xfId="0" applyNumberFormat="1" applyFont="1" applyFill="1" applyBorder="1" applyAlignment="1">
      <alignment horizontal="center" vertical="center"/>
    </xf>
    <xf numFmtId="170" fontId="18" fillId="23" borderId="53" xfId="31" applyNumberFormat="1" applyFont="1" applyFill="1" applyBorder="1" applyAlignment="1">
      <alignment horizontal="center" vertical="center"/>
    </xf>
    <xf numFmtId="170" fontId="18" fillId="24" borderId="81" xfId="31" applyNumberFormat="1" applyFont="1" applyFill="1" applyBorder="1" applyAlignment="1">
      <alignment horizontal="center" vertical="center"/>
    </xf>
    <xf numFmtId="170" fontId="18" fillId="24" borderId="84" xfId="31" applyNumberFormat="1" applyFont="1" applyFill="1" applyBorder="1" applyAlignment="1">
      <alignment horizontal="center" vertical="center"/>
    </xf>
    <xf numFmtId="170" fontId="18" fillId="24" borderId="23" xfId="31" applyNumberFormat="1" applyFont="1" applyFill="1" applyBorder="1" applyAlignment="1">
      <alignment horizontal="center" vertical="center"/>
    </xf>
    <xf numFmtId="170" fontId="18" fillId="24" borderId="11" xfId="31" applyNumberFormat="1" applyFont="1" applyFill="1" applyBorder="1" applyAlignment="1">
      <alignment horizontal="center" vertical="center"/>
    </xf>
    <xf numFmtId="170" fontId="18" fillId="24" borderId="90" xfId="31" applyNumberFormat="1" applyFont="1" applyFill="1" applyBorder="1" applyAlignment="1">
      <alignment horizontal="center" vertical="center"/>
    </xf>
    <xf numFmtId="170" fontId="18" fillId="24" borderId="82" xfId="31" applyNumberFormat="1" applyFont="1" applyFill="1" applyBorder="1" applyAlignment="1">
      <alignment horizontal="center" vertical="center"/>
    </xf>
    <xf numFmtId="0" fontId="53" fillId="4" borderId="30" xfId="0" applyFont="1" applyFill="1" applyBorder="1" applyAlignment="1">
      <alignment vertical="center"/>
    </xf>
    <xf numFmtId="49" fontId="18" fillId="4" borderId="15" xfId="0" applyNumberFormat="1" applyFont="1" applyFill="1" applyBorder="1" applyAlignment="1">
      <alignment horizontal="center" vertical="center"/>
    </xf>
    <xf numFmtId="0" fontId="28" fillId="4" borderId="23" xfId="0" applyFont="1" applyFill="1" applyBorder="1"/>
    <xf numFmtId="170" fontId="32" fillId="13" borderId="24" xfId="0" applyNumberFormat="1" applyFont="1" applyFill="1" applyBorder="1" applyAlignment="1">
      <alignment horizontal="center" vertical="center" wrapText="1"/>
    </xf>
    <xf numFmtId="170" fontId="60" fillId="13" borderId="25" xfId="0" applyNumberFormat="1" applyFont="1" applyFill="1" applyBorder="1" applyAlignment="1">
      <alignment horizontal="center" vertical="center" wrapText="1"/>
    </xf>
    <xf numFmtId="170" fontId="32" fillId="13" borderId="18" xfId="0" applyNumberFormat="1" applyFont="1" applyFill="1" applyBorder="1" applyAlignment="1">
      <alignment horizontal="center" vertical="center" wrapText="1"/>
    </xf>
    <xf numFmtId="170" fontId="60" fillId="13" borderId="11" xfId="0" applyNumberFormat="1" applyFont="1" applyFill="1" applyBorder="1" applyAlignment="1">
      <alignment horizontal="center" vertical="center" wrapText="1"/>
    </xf>
    <xf numFmtId="170" fontId="32" fillId="13" borderId="12" xfId="0" applyNumberFormat="1" applyFont="1" applyFill="1" applyBorder="1" applyAlignment="1">
      <alignment horizontal="center" vertical="center" wrapText="1"/>
    </xf>
    <xf numFmtId="0" fontId="32" fillId="4" borderId="0" xfId="0" applyFont="1" applyFill="1" applyAlignment="1">
      <alignment horizontal="center" vertical="center" textRotation="90"/>
    </xf>
    <xf numFmtId="0" fontId="17" fillId="4" borderId="0" xfId="0" applyFont="1" applyFill="1"/>
    <xf numFmtId="170" fontId="32" fillId="4" borderId="23" xfId="0" applyNumberFormat="1" applyFont="1" applyFill="1" applyBorder="1" applyAlignment="1">
      <alignment horizontal="center" vertical="center"/>
    </xf>
    <xf numFmtId="170" fontId="61" fillId="4" borderId="11" xfId="0" applyNumberFormat="1" applyFont="1" applyFill="1" applyBorder="1" applyAlignment="1">
      <alignment horizontal="center" vertical="center"/>
    </xf>
    <xf numFmtId="0" fontId="32" fillId="13" borderId="31" xfId="0" applyFont="1" applyFill="1" applyBorder="1" applyAlignment="1">
      <alignment horizontal="left" vertical="center" wrapText="1" indent="1"/>
    </xf>
    <xf numFmtId="0" fontId="32" fillId="13" borderId="13" xfId="0" applyFont="1" applyFill="1" applyBorder="1" applyAlignment="1">
      <alignment horizontal="left" vertical="center" wrapText="1" indent="1"/>
    </xf>
    <xf numFmtId="170" fontId="32" fillId="4" borderId="24" xfId="0" applyNumberFormat="1" applyFont="1" applyFill="1" applyBorder="1" applyAlignment="1">
      <alignment horizontal="center" vertical="center"/>
    </xf>
    <xf numFmtId="170" fontId="18" fillId="23" borderId="23" xfId="31" applyNumberFormat="1" applyFont="1" applyFill="1" applyBorder="1" applyAlignment="1">
      <alignment horizontal="center" vertical="center"/>
    </xf>
    <xf numFmtId="0" fontId="31" fillId="4" borderId="0" xfId="0" applyFont="1" applyFill="1" applyAlignment="1">
      <alignment horizontal="center" vertical="center"/>
    </xf>
    <xf numFmtId="172" fontId="65" fillId="4" borderId="94" xfId="0" applyNumberFormat="1" applyFont="1" applyFill="1" applyBorder="1" applyAlignment="1">
      <alignment horizontal="center" vertical="center"/>
    </xf>
    <xf numFmtId="172" fontId="65" fillId="23" borderId="93" xfId="0" applyNumberFormat="1" applyFont="1" applyFill="1" applyBorder="1" applyAlignment="1">
      <alignment horizontal="center" vertical="center"/>
    </xf>
    <xf numFmtId="0" fontId="53" fillId="4" borderId="17" xfId="0" applyFont="1" applyFill="1" applyBorder="1" applyAlignment="1">
      <alignment horizontal="left" vertical="center" indent="1"/>
    </xf>
    <xf numFmtId="0" fontId="49" fillId="9" borderId="95" xfId="0" applyFont="1" applyFill="1" applyBorder="1" applyAlignment="1">
      <alignment horizontal="left" vertical="center" indent="1"/>
    </xf>
    <xf numFmtId="0" fontId="32" fillId="4" borderId="0" xfId="0" applyFont="1" applyFill="1" applyAlignment="1">
      <alignment vertical="center" textRotation="90"/>
    </xf>
    <xf numFmtId="0" fontId="61" fillId="4" borderId="26" xfId="0" applyFont="1" applyFill="1" applyBorder="1" applyAlignment="1">
      <alignment horizontal="left" vertical="center" wrapText="1" indent="1"/>
    </xf>
    <xf numFmtId="170" fontId="18" fillId="24" borderId="92" xfId="31" applyNumberFormat="1" applyFont="1" applyFill="1" applyBorder="1" applyAlignment="1">
      <alignment horizontal="center" vertical="center"/>
    </xf>
    <xf numFmtId="170" fontId="18" fillId="23" borderId="15" xfId="31" applyNumberFormat="1" applyFont="1" applyFill="1" applyBorder="1" applyAlignment="1">
      <alignment horizontal="center" vertical="center"/>
    </xf>
    <xf numFmtId="0" fontId="32" fillId="4" borderId="30" xfId="0" applyFont="1" applyFill="1" applyBorder="1" applyAlignment="1">
      <alignment horizontal="center" vertical="center"/>
    </xf>
    <xf numFmtId="0" fontId="32" fillId="4" borderId="27" xfId="0" applyFont="1" applyFill="1" applyBorder="1" applyAlignment="1">
      <alignment horizontal="center" vertical="center"/>
    </xf>
    <xf numFmtId="0" fontId="32" fillId="4" borderId="23" xfId="0" applyFont="1" applyFill="1" applyBorder="1" applyAlignment="1">
      <alignment horizontal="center" vertical="center"/>
    </xf>
    <xf numFmtId="0" fontId="56" fillId="4" borderId="0" xfId="0" applyFont="1" applyFill="1" applyAlignment="1">
      <alignment vertical="top"/>
    </xf>
    <xf numFmtId="0" fontId="61" fillId="4" borderId="0" xfId="0" applyFont="1" applyFill="1" applyAlignment="1">
      <alignment horizontal="left" vertical="center" wrapText="1" indent="1"/>
    </xf>
    <xf numFmtId="0" fontId="28" fillId="4" borderId="27" xfId="0" applyFont="1" applyFill="1" applyBorder="1"/>
    <xf numFmtId="170" fontId="45" fillId="4" borderId="17" xfId="0" applyNumberFormat="1" applyFont="1" applyFill="1" applyBorder="1" applyAlignment="1">
      <alignment horizontal="center" vertical="center"/>
    </xf>
    <xf numFmtId="170" fontId="45" fillId="4" borderId="6" xfId="0" applyNumberFormat="1" applyFont="1" applyFill="1" applyBorder="1" applyAlignment="1">
      <alignment horizontal="center" vertical="center"/>
    </xf>
    <xf numFmtId="170" fontId="32" fillId="0" borderId="6" xfId="0" applyNumberFormat="1" applyFont="1" applyBorder="1" applyAlignment="1">
      <alignment horizontal="center" vertical="center"/>
    </xf>
    <xf numFmtId="0" fontId="32" fillId="4" borderId="9" xfId="0" applyFont="1" applyFill="1" applyBorder="1" applyAlignment="1">
      <alignment horizontal="center" vertical="center" wrapText="1"/>
    </xf>
    <xf numFmtId="0" fontId="32" fillId="4" borderId="8" xfId="0" applyFont="1" applyFill="1" applyBorder="1" applyAlignment="1">
      <alignment horizontal="center" vertical="center" wrapText="1"/>
    </xf>
    <xf numFmtId="0" fontId="43" fillId="15" borderId="0" xfId="0" applyFont="1" applyFill="1" applyAlignment="1">
      <alignment vertical="center" wrapText="1"/>
    </xf>
    <xf numFmtId="170" fontId="18" fillId="23" borderId="11" xfId="31" applyNumberFormat="1" applyFont="1" applyFill="1" applyBorder="1" applyAlignment="1">
      <alignment horizontal="center" vertical="center"/>
    </xf>
    <xf numFmtId="170" fontId="32" fillId="4" borderId="2" xfId="0" applyNumberFormat="1" applyFont="1" applyFill="1" applyBorder="1" applyAlignment="1">
      <alignment horizontal="center" vertical="center"/>
    </xf>
    <xf numFmtId="170" fontId="32" fillId="13" borderId="11" xfId="0" applyNumberFormat="1" applyFont="1" applyFill="1" applyBorder="1" applyAlignment="1">
      <alignment horizontal="center" vertical="center"/>
    </xf>
    <xf numFmtId="170" fontId="32" fillId="4" borderId="21" xfId="0" applyNumberFormat="1" applyFont="1" applyFill="1" applyBorder="1" applyAlignment="1">
      <alignment horizontal="center" vertical="center"/>
    </xf>
    <xf numFmtId="171" fontId="18" fillId="4" borderId="6" xfId="1" applyNumberFormat="1" applyFont="1" applyFill="1" applyBorder="1" applyAlignment="1">
      <alignment horizontal="center" vertical="center"/>
    </xf>
    <xf numFmtId="171" fontId="18" fillId="4" borderId="18" xfId="0" applyNumberFormat="1" applyFont="1" applyFill="1" applyBorder="1" applyAlignment="1">
      <alignment horizontal="center" vertical="center"/>
    </xf>
    <xf numFmtId="0" fontId="32" fillId="4" borderId="21" xfId="0" applyFont="1" applyFill="1" applyBorder="1" applyAlignment="1">
      <alignment horizontal="center" vertical="center" wrapText="1"/>
    </xf>
    <xf numFmtId="0" fontId="32" fillId="4" borderId="21" xfId="0" applyFont="1" applyFill="1" applyBorder="1" applyAlignment="1">
      <alignment horizontal="center" vertical="center"/>
    </xf>
    <xf numFmtId="0" fontId="45" fillId="4" borderId="0" xfId="0" applyFont="1" applyFill="1" applyAlignment="1">
      <alignment horizontal="left" vertical="center" indent="1"/>
    </xf>
    <xf numFmtId="170" fontId="32" fillId="4" borderId="22" xfId="0" applyNumberFormat="1" applyFont="1" applyFill="1" applyBorder="1" applyAlignment="1">
      <alignment horizontal="center" vertical="center"/>
    </xf>
    <xf numFmtId="171" fontId="18" fillId="4" borderId="17" xfId="1" applyNumberFormat="1" applyFont="1" applyFill="1" applyBorder="1" applyAlignment="1">
      <alignment horizontal="center" vertical="center"/>
    </xf>
    <xf numFmtId="0" fontId="32" fillId="4" borderId="9" xfId="0" applyFont="1" applyFill="1" applyBorder="1" applyAlignment="1">
      <alignment horizontal="center" vertical="center"/>
    </xf>
    <xf numFmtId="0" fontId="32" fillId="4" borderId="32" xfId="0" applyFont="1" applyFill="1" applyBorder="1" applyAlignment="1">
      <alignment horizontal="center" vertical="center"/>
    </xf>
    <xf numFmtId="0" fontId="32" fillId="4" borderId="29" xfId="0" applyFont="1" applyFill="1" applyBorder="1" applyAlignment="1">
      <alignment horizontal="center" vertical="center"/>
    </xf>
    <xf numFmtId="0" fontId="32" fillId="0" borderId="29" xfId="0" applyFont="1" applyBorder="1" applyAlignment="1">
      <alignment horizontal="center" vertical="center"/>
    </xf>
    <xf numFmtId="0" fontId="18" fillId="4" borderId="21" xfId="0" applyFont="1" applyFill="1" applyBorder="1" applyAlignment="1">
      <alignment horizontal="center" vertical="center"/>
    </xf>
    <xf numFmtId="171" fontId="18" fillId="4" borderId="24" xfId="1" applyNumberFormat="1" applyFont="1" applyFill="1" applyBorder="1" applyAlignment="1">
      <alignment horizontal="center" vertical="center"/>
    </xf>
    <xf numFmtId="0" fontId="18" fillId="4" borderId="29" xfId="0" applyFont="1" applyFill="1" applyBorder="1" applyAlignment="1">
      <alignment horizontal="center" vertical="center"/>
    </xf>
    <xf numFmtId="0" fontId="18" fillId="4" borderId="24" xfId="0" applyFont="1" applyFill="1" applyBorder="1" applyAlignment="1">
      <alignment horizontal="center" vertical="center"/>
    </xf>
    <xf numFmtId="0" fontId="32" fillId="4" borderId="54" xfId="0" applyFont="1" applyFill="1" applyBorder="1" applyAlignment="1">
      <alignment vertical="center" textRotation="90"/>
    </xf>
    <xf numFmtId="0" fontId="32" fillId="4" borderId="1" xfId="0" applyFont="1" applyFill="1" applyBorder="1" applyAlignment="1">
      <alignment vertical="center" textRotation="90"/>
    </xf>
    <xf numFmtId="6" fontId="18" fillId="4" borderId="8" xfId="1" applyNumberFormat="1" applyFont="1" applyFill="1" applyBorder="1" applyAlignment="1">
      <alignment horizontal="center" vertical="center"/>
    </xf>
    <xf numFmtId="0" fontId="45" fillId="4" borderId="4" xfId="0" applyFont="1" applyFill="1" applyBorder="1" applyAlignment="1">
      <alignment horizontal="center" vertical="center"/>
    </xf>
    <xf numFmtId="0" fontId="28" fillId="4" borderId="99" xfId="0" applyFont="1" applyFill="1" applyBorder="1"/>
    <xf numFmtId="0" fontId="45" fillId="4" borderId="100" xfId="0" applyFont="1" applyFill="1" applyBorder="1"/>
    <xf numFmtId="0" fontId="28" fillId="4" borderId="100" xfId="0" applyFont="1" applyFill="1" applyBorder="1"/>
    <xf numFmtId="170" fontId="32" fillId="4" borderId="104" xfId="0" applyNumberFormat="1" applyFont="1" applyFill="1" applyBorder="1" applyAlignment="1">
      <alignment horizontal="center" vertical="center"/>
    </xf>
    <xf numFmtId="170" fontId="45" fillId="4" borderId="18" xfId="0" applyNumberFormat="1" applyFont="1" applyFill="1" applyBorder="1" applyAlignment="1">
      <alignment horizontal="center" vertical="center"/>
    </xf>
    <xf numFmtId="170" fontId="45" fillId="4" borderId="24" xfId="0" applyNumberFormat="1" applyFont="1" applyFill="1" applyBorder="1" applyAlignment="1">
      <alignment horizontal="center" vertical="center"/>
    </xf>
    <xf numFmtId="0" fontId="32" fillId="4" borderId="21" xfId="0" applyFont="1" applyFill="1" applyBorder="1" applyAlignment="1">
      <alignment horizontal="left" vertical="center" indent="1"/>
    </xf>
    <xf numFmtId="170" fontId="32" fillId="4" borderId="29" xfId="0" applyNumberFormat="1" applyFont="1" applyFill="1" applyBorder="1" applyAlignment="1">
      <alignment horizontal="center" vertical="center"/>
    </xf>
    <xf numFmtId="0" fontId="18" fillId="4" borderId="2" xfId="0" applyFont="1" applyFill="1" applyBorder="1" applyAlignment="1">
      <alignment horizontal="center" vertical="center"/>
    </xf>
    <xf numFmtId="6" fontId="18" fillId="4" borderId="9" xfId="1" applyNumberFormat="1" applyFont="1" applyFill="1" applyBorder="1" applyAlignment="1">
      <alignment horizontal="center" vertical="center"/>
    </xf>
    <xf numFmtId="2" fontId="32" fillId="4" borderId="29" xfId="0" applyNumberFormat="1" applyFont="1" applyFill="1" applyBorder="1" applyAlignment="1">
      <alignment horizontal="left" vertical="center" wrapText="1" indent="1"/>
    </xf>
    <xf numFmtId="170" fontId="32" fillId="4" borderId="17" xfId="8" applyNumberFormat="1" applyFont="1" applyFill="1" applyBorder="1" applyAlignment="1">
      <alignment horizontal="center" vertical="center"/>
    </xf>
    <xf numFmtId="170" fontId="16" fillId="4" borderId="8" xfId="0" applyNumberFormat="1" applyFont="1" applyFill="1" applyBorder="1" applyAlignment="1">
      <alignment horizontal="center" vertical="center" wrapText="1"/>
    </xf>
    <xf numFmtId="49" fontId="28" fillId="4" borderId="0" xfId="0" applyNumberFormat="1" applyFont="1" applyFill="1" applyAlignment="1">
      <alignment horizontal="center" vertical="center"/>
    </xf>
    <xf numFmtId="166" fontId="39" fillId="4" borderId="0" xfId="0" applyNumberFormat="1" applyFont="1" applyFill="1" applyAlignment="1">
      <alignment horizontal="center" vertical="center"/>
    </xf>
    <xf numFmtId="0" fontId="45" fillId="4" borderId="0" xfId="8" applyFont="1" applyFill="1" applyAlignment="1">
      <alignment horizontal="center" vertical="center"/>
    </xf>
    <xf numFmtId="170" fontId="32" fillId="4" borderId="34" xfId="0" applyNumberFormat="1" applyFont="1" applyFill="1" applyBorder="1" applyAlignment="1">
      <alignment horizontal="center" vertical="center"/>
    </xf>
    <xf numFmtId="170" fontId="60" fillId="4" borderId="112" xfId="0" applyNumberFormat="1" applyFont="1" applyFill="1" applyBorder="1" applyAlignment="1">
      <alignment horizontal="center" vertical="center"/>
    </xf>
    <xf numFmtId="170" fontId="45" fillId="4" borderId="34" xfId="0" applyNumberFormat="1" applyFont="1" applyFill="1" applyBorder="1" applyAlignment="1">
      <alignment horizontal="center" vertical="center" wrapText="1"/>
    </xf>
    <xf numFmtId="170" fontId="60" fillId="4" borderId="112" xfId="0" applyNumberFormat="1" applyFont="1" applyFill="1" applyBorder="1" applyAlignment="1">
      <alignment horizontal="center" vertical="center" wrapText="1"/>
    </xf>
    <xf numFmtId="170" fontId="45" fillId="4" borderId="34" xfId="0" applyNumberFormat="1" applyFont="1" applyFill="1" applyBorder="1" applyAlignment="1">
      <alignment horizontal="center" vertical="center"/>
    </xf>
    <xf numFmtId="170" fontId="45" fillId="4" borderId="112" xfId="0" applyNumberFormat="1" applyFont="1" applyFill="1" applyBorder="1" applyAlignment="1">
      <alignment horizontal="center" vertical="center"/>
    </xf>
    <xf numFmtId="0" fontId="28" fillId="4" borderId="3" xfId="0" applyFont="1" applyFill="1" applyBorder="1" applyAlignment="1">
      <alignment horizontal="center" vertical="center"/>
    </xf>
    <xf numFmtId="171" fontId="18" fillId="13" borderId="1" xfId="1" applyNumberFormat="1" applyFont="1" applyFill="1" applyBorder="1" applyAlignment="1">
      <alignment horizontal="center" vertical="center"/>
    </xf>
    <xf numFmtId="171" fontId="18" fillId="13" borderId="7" xfId="1" applyNumberFormat="1" applyFont="1" applyFill="1" applyBorder="1" applyAlignment="1">
      <alignment horizontal="center" vertical="center"/>
    </xf>
    <xf numFmtId="171" fontId="18" fillId="13" borderId="12" xfId="1" applyNumberFormat="1" applyFont="1" applyFill="1" applyBorder="1" applyAlignment="1">
      <alignment horizontal="center" vertical="center"/>
    </xf>
    <xf numFmtId="171" fontId="18" fillId="13" borderId="25" xfId="1" applyNumberFormat="1" applyFont="1" applyFill="1" applyBorder="1" applyAlignment="1">
      <alignment horizontal="center" vertical="center"/>
    </xf>
    <xf numFmtId="171" fontId="18" fillId="13" borderId="11" xfId="0" applyNumberFormat="1" applyFont="1" applyFill="1" applyBorder="1" applyAlignment="1">
      <alignment horizontal="center" vertical="center"/>
    </xf>
    <xf numFmtId="170" fontId="32" fillId="13" borderId="105" xfId="0" applyNumberFormat="1" applyFont="1" applyFill="1" applyBorder="1" applyAlignment="1">
      <alignment horizontal="center" vertical="center"/>
    </xf>
    <xf numFmtId="170" fontId="32" fillId="13" borderId="109" xfId="0" applyNumberFormat="1" applyFont="1" applyFill="1" applyBorder="1" applyAlignment="1">
      <alignment horizontal="center" vertical="center"/>
    </xf>
    <xf numFmtId="170" fontId="32" fillId="13" borderId="1" xfId="0" applyNumberFormat="1" applyFont="1" applyFill="1" applyBorder="1" applyAlignment="1">
      <alignment horizontal="center" vertical="center"/>
    </xf>
    <xf numFmtId="166" fontId="32" fillId="4" borderId="10" xfId="0" applyNumberFormat="1" applyFont="1" applyFill="1" applyBorder="1" applyAlignment="1">
      <alignment horizontal="center" vertical="center"/>
    </xf>
    <xf numFmtId="0" fontId="32" fillId="4" borderId="10" xfId="0" applyFont="1" applyFill="1" applyBorder="1" applyAlignment="1">
      <alignment horizontal="center" vertical="center" wrapText="1"/>
    </xf>
    <xf numFmtId="0" fontId="53" fillId="4" borderId="18" xfId="0" applyFont="1" applyFill="1" applyBorder="1" applyAlignment="1">
      <alignment horizontal="left" vertical="center" indent="1"/>
    </xf>
    <xf numFmtId="170" fontId="32" fillId="4" borderId="0" xfId="0" applyNumberFormat="1" applyFont="1" applyFill="1" applyAlignment="1">
      <alignment horizontal="center" vertical="center"/>
    </xf>
    <xf numFmtId="0" fontId="44" fillId="5" borderId="0" xfId="0" applyFont="1" applyFill="1" applyAlignment="1">
      <alignment horizontal="right" vertical="center"/>
    </xf>
    <xf numFmtId="170" fontId="45" fillId="4" borderId="22" xfId="0" applyNumberFormat="1" applyFont="1" applyFill="1" applyBorder="1" applyAlignment="1">
      <alignment horizontal="center" vertical="center"/>
    </xf>
    <xf numFmtId="170" fontId="66" fillId="4" borderId="1" xfId="0" applyNumberFormat="1" applyFont="1" applyFill="1" applyBorder="1" applyAlignment="1">
      <alignment horizontal="center" vertical="center"/>
    </xf>
    <xf numFmtId="170" fontId="66" fillId="4" borderId="11" xfId="0" applyNumberFormat="1" applyFont="1" applyFill="1" applyBorder="1" applyAlignment="1">
      <alignment horizontal="center" vertical="center"/>
    </xf>
    <xf numFmtId="170" fontId="32" fillId="4" borderId="0" xfId="0" applyNumberFormat="1" applyFont="1" applyFill="1" applyAlignment="1">
      <alignment horizontal="center" vertical="center" wrapText="1"/>
    </xf>
    <xf numFmtId="170" fontId="21" fillId="4" borderId="0" xfId="0" applyNumberFormat="1" applyFont="1" applyFill="1" applyAlignment="1">
      <alignment horizontal="center" vertical="center" wrapText="1"/>
    </xf>
    <xf numFmtId="0" fontId="32" fillId="4" borderId="0" xfId="0" applyFont="1" applyFill="1" applyAlignment="1">
      <alignment horizontal="center" vertical="center" wrapText="1"/>
    </xf>
    <xf numFmtId="0" fontId="32" fillId="4" borderId="26" xfId="0" applyFont="1" applyFill="1" applyBorder="1" applyAlignment="1">
      <alignment horizontal="left" vertical="center" wrapText="1" indent="1"/>
    </xf>
    <xf numFmtId="170" fontId="32" fillId="4" borderId="26" xfId="0" applyNumberFormat="1" applyFont="1" applyFill="1" applyBorder="1" applyAlignment="1">
      <alignment horizontal="center" vertical="center"/>
    </xf>
    <xf numFmtId="0" fontId="53" fillId="4" borderId="0" xfId="0" applyFont="1" applyFill="1" applyAlignment="1">
      <alignment horizontal="left" vertical="center" wrapText="1" indent="1"/>
    </xf>
    <xf numFmtId="0" fontId="32" fillId="4" borderId="121" xfId="0" applyFont="1" applyFill="1" applyBorder="1" applyAlignment="1">
      <alignment horizontal="center" vertical="center" wrapText="1"/>
    </xf>
    <xf numFmtId="166" fontId="32" fillId="4" borderId="8" xfId="0" applyNumberFormat="1" applyFont="1" applyFill="1" applyBorder="1" applyAlignment="1">
      <alignment horizontal="center" vertical="center"/>
    </xf>
    <xf numFmtId="0" fontId="43" fillId="4" borderId="0" xfId="0" applyFont="1" applyFill="1" applyAlignment="1">
      <alignment vertical="center" wrapText="1" readingOrder="1"/>
    </xf>
    <xf numFmtId="170" fontId="32" fillId="4" borderId="0" xfId="0" applyNumberFormat="1" applyFont="1" applyFill="1" applyAlignment="1">
      <alignment vertical="center"/>
    </xf>
    <xf numFmtId="0" fontId="43" fillId="4" borderId="0" xfId="0" applyFont="1" applyFill="1" applyAlignment="1">
      <alignment vertical="center"/>
    </xf>
    <xf numFmtId="0" fontId="32" fillId="4" borderId="8" xfId="0" applyFont="1" applyFill="1" applyBorder="1" applyAlignment="1">
      <alignment horizontal="center" vertical="center"/>
    </xf>
    <xf numFmtId="0" fontId="43" fillId="9" borderId="0" xfId="0" applyFont="1" applyFill="1" applyAlignment="1">
      <alignment vertical="center" wrapText="1" readingOrder="1"/>
    </xf>
    <xf numFmtId="0" fontId="32" fillId="4" borderId="32" xfId="0" applyFont="1" applyFill="1" applyBorder="1" applyAlignment="1">
      <alignment horizontal="center" vertical="center" wrapText="1"/>
    </xf>
    <xf numFmtId="0" fontId="32" fillId="4" borderId="24" xfId="0" applyFont="1" applyFill="1" applyBorder="1" applyAlignment="1">
      <alignment horizontal="center" vertical="center" wrapText="1"/>
    </xf>
    <xf numFmtId="0" fontId="32" fillId="4" borderId="22" xfId="0" applyFont="1" applyFill="1" applyBorder="1" applyAlignment="1">
      <alignment horizontal="center" vertical="center" wrapText="1"/>
    </xf>
    <xf numFmtId="170" fontId="32" fillId="13" borderId="131" xfId="0" applyNumberFormat="1" applyFont="1" applyFill="1" applyBorder="1" applyAlignment="1">
      <alignment horizontal="center" vertical="center"/>
    </xf>
    <xf numFmtId="0" fontId="69" fillId="4" borderId="0" xfId="0" applyFont="1" applyFill="1" applyAlignment="1">
      <alignment horizontal="left" indent="1"/>
    </xf>
    <xf numFmtId="170" fontId="21" fillId="4" borderId="98" xfId="0" applyNumberFormat="1" applyFont="1" applyFill="1" applyBorder="1" applyAlignment="1">
      <alignment horizontal="center" vertical="center"/>
    </xf>
    <xf numFmtId="0" fontId="69" fillId="4" borderId="1" xfId="0" applyFont="1" applyFill="1" applyBorder="1" applyAlignment="1">
      <alignment horizontal="left" indent="1"/>
    </xf>
    <xf numFmtId="0" fontId="21" fillId="4" borderId="97" xfId="0" applyFont="1" applyFill="1" applyBorder="1" applyAlignment="1">
      <alignment horizontal="center" vertical="center"/>
    </xf>
    <xf numFmtId="170" fontId="21" fillId="7" borderId="29" xfId="0" applyNumberFormat="1" applyFont="1" applyFill="1" applyBorder="1" applyAlignment="1">
      <alignment horizontal="center" vertical="center" wrapText="1"/>
    </xf>
    <xf numFmtId="0" fontId="21" fillId="7" borderId="137" xfId="0" applyFont="1" applyFill="1" applyBorder="1" applyAlignment="1">
      <alignment horizontal="center" vertical="center" wrapText="1"/>
    </xf>
    <xf numFmtId="170" fontId="21" fillId="29" borderId="12" xfId="0" applyNumberFormat="1" applyFont="1" applyFill="1" applyBorder="1" applyAlignment="1">
      <alignment horizontal="center" vertical="center" wrapText="1"/>
    </xf>
    <xf numFmtId="0" fontId="18" fillId="4" borderId="8" xfId="0" applyFont="1" applyFill="1" applyBorder="1" applyAlignment="1">
      <alignment horizontal="center" vertical="center"/>
    </xf>
    <xf numFmtId="170" fontId="18" fillId="13" borderId="12" xfId="0" applyNumberFormat="1" applyFont="1" applyFill="1" applyBorder="1" applyAlignment="1">
      <alignment horizontal="center" vertical="center" wrapText="1"/>
    </xf>
    <xf numFmtId="170" fontId="18" fillId="4" borderId="130" xfId="0" applyNumberFormat="1" applyFont="1" applyFill="1" applyBorder="1" applyAlignment="1">
      <alignment horizontal="center" vertical="center" wrapText="1"/>
    </xf>
    <xf numFmtId="170" fontId="32" fillId="13" borderId="133" xfId="0" applyNumberFormat="1" applyFont="1" applyFill="1" applyBorder="1" applyAlignment="1">
      <alignment horizontal="center" vertical="center"/>
    </xf>
    <xf numFmtId="0" fontId="28" fillId="4" borderId="36" xfId="0" applyFont="1" applyFill="1" applyBorder="1"/>
    <xf numFmtId="171" fontId="18" fillId="4" borderId="17" xfId="0" applyNumberFormat="1" applyFont="1" applyFill="1" applyBorder="1" applyAlignment="1">
      <alignment horizontal="center" vertical="center" wrapText="1"/>
    </xf>
    <xf numFmtId="171" fontId="18" fillId="4" borderId="6" xfId="0" applyNumberFormat="1" applyFont="1" applyFill="1" applyBorder="1" applyAlignment="1">
      <alignment horizontal="center" vertical="center" wrapText="1"/>
    </xf>
    <xf numFmtId="171" fontId="18" fillId="4" borderId="22" xfId="0" applyNumberFormat="1" applyFont="1" applyFill="1" applyBorder="1" applyAlignment="1">
      <alignment horizontal="center" vertical="center" wrapText="1"/>
    </xf>
    <xf numFmtId="171" fontId="18" fillId="13" borderId="12" xfId="0" applyNumberFormat="1" applyFont="1" applyFill="1" applyBorder="1" applyAlignment="1">
      <alignment horizontal="center" vertical="center" wrapText="1"/>
    </xf>
    <xf numFmtId="171" fontId="18" fillId="13" borderId="7" xfId="0" applyNumberFormat="1" applyFont="1" applyFill="1" applyBorder="1" applyAlignment="1">
      <alignment horizontal="center" vertical="center" wrapText="1"/>
    </xf>
    <xf numFmtId="171" fontId="18" fillId="13" borderId="13" xfId="0" applyNumberFormat="1" applyFont="1" applyFill="1" applyBorder="1" applyAlignment="1">
      <alignment horizontal="center" vertical="center" wrapText="1"/>
    </xf>
    <xf numFmtId="171" fontId="18" fillId="13" borderId="11" xfId="1" applyNumberFormat="1" applyFont="1" applyFill="1" applyBorder="1" applyAlignment="1">
      <alignment horizontal="center" vertical="center"/>
    </xf>
    <xf numFmtId="170" fontId="32" fillId="4" borderId="132" xfId="0" applyNumberFormat="1" applyFont="1" applyFill="1" applyBorder="1" applyAlignment="1">
      <alignment horizontal="center" vertical="center"/>
    </xf>
    <xf numFmtId="170" fontId="32" fillId="4" borderId="122" xfId="0" applyNumberFormat="1" applyFont="1" applyFill="1" applyBorder="1" applyAlignment="1">
      <alignment horizontal="center" vertical="center"/>
    </xf>
    <xf numFmtId="170" fontId="32" fillId="13" borderId="123" xfId="0" applyNumberFormat="1" applyFont="1" applyFill="1" applyBorder="1" applyAlignment="1">
      <alignment horizontal="center" vertical="center"/>
    </xf>
    <xf numFmtId="166" fontId="32" fillId="4" borderId="9" xfId="0" applyNumberFormat="1" applyFont="1" applyFill="1" applyBorder="1" applyAlignment="1">
      <alignment horizontal="center" vertical="center"/>
    </xf>
    <xf numFmtId="170" fontId="32" fillId="4" borderId="134" xfId="0" applyNumberFormat="1" applyFont="1" applyFill="1" applyBorder="1" applyAlignment="1">
      <alignment horizontal="center" vertical="center"/>
    </xf>
    <xf numFmtId="0" fontId="32" fillId="4" borderId="145" xfId="0" applyFont="1" applyFill="1" applyBorder="1" applyAlignment="1">
      <alignment horizontal="center" vertical="center" wrapText="1"/>
    </xf>
    <xf numFmtId="170" fontId="32" fillId="13" borderId="146" xfId="0" applyNumberFormat="1" applyFont="1" applyFill="1" applyBorder="1" applyAlignment="1">
      <alignment horizontal="center" vertical="center"/>
    </xf>
    <xf numFmtId="170" fontId="32" fillId="4" borderId="130" xfId="0" applyNumberFormat="1" applyFont="1" applyFill="1" applyBorder="1" applyAlignment="1">
      <alignment horizontal="center" vertical="center"/>
    </xf>
    <xf numFmtId="170" fontId="32" fillId="0" borderId="122" xfId="0" applyNumberFormat="1" applyFont="1" applyBorder="1" applyAlignment="1">
      <alignment horizontal="center" vertical="center"/>
    </xf>
    <xf numFmtId="170" fontId="32" fillId="4" borderId="8" xfId="8" applyNumberFormat="1" applyFont="1" applyFill="1" applyBorder="1" applyAlignment="1">
      <alignment horizontal="center" vertical="center"/>
    </xf>
    <xf numFmtId="166" fontId="32" fillId="4" borderId="140" xfId="0" applyNumberFormat="1" applyFont="1" applyFill="1" applyBorder="1" applyAlignment="1">
      <alignment horizontal="center" vertical="center"/>
    </xf>
    <xf numFmtId="0" fontId="18" fillId="4" borderId="0" xfId="0" applyFont="1" applyFill="1" applyAlignment="1">
      <alignment vertical="center"/>
    </xf>
    <xf numFmtId="170" fontId="21" fillId="4" borderId="6" xfId="0" applyNumberFormat="1" applyFont="1" applyFill="1" applyBorder="1" applyAlignment="1">
      <alignment horizontal="center" vertical="center"/>
    </xf>
    <xf numFmtId="170" fontId="21" fillId="4" borderId="18" xfId="0" applyNumberFormat="1" applyFont="1" applyFill="1" applyBorder="1" applyAlignment="1">
      <alignment horizontal="center" vertical="center"/>
    </xf>
    <xf numFmtId="0" fontId="28" fillId="4" borderId="30" xfId="0" applyFont="1" applyFill="1" applyBorder="1" applyAlignment="1">
      <alignment horizontal="center" vertical="center"/>
    </xf>
    <xf numFmtId="0" fontId="28" fillId="4" borderId="27" xfId="0" applyFont="1" applyFill="1" applyBorder="1" applyAlignment="1">
      <alignment horizontal="center" vertical="center"/>
    </xf>
    <xf numFmtId="0" fontId="32" fillId="4" borderId="147" xfId="0" applyFont="1" applyFill="1" applyBorder="1" applyAlignment="1">
      <alignment horizontal="center" vertical="center" wrapText="1"/>
    </xf>
    <xf numFmtId="170" fontId="32" fillId="4" borderId="148" xfId="0" applyNumberFormat="1" applyFont="1" applyFill="1" applyBorder="1" applyAlignment="1">
      <alignment horizontal="center" vertical="center"/>
    </xf>
    <xf numFmtId="170" fontId="32" fillId="13" borderId="149" xfId="0" applyNumberFormat="1" applyFont="1" applyFill="1" applyBorder="1" applyAlignment="1">
      <alignment horizontal="center" vertical="center"/>
    </xf>
    <xf numFmtId="170" fontId="70" fillId="4" borderId="150" xfId="0" applyNumberFormat="1" applyFont="1" applyFill="1" applyBorder="1" applyAlignment="1">
      <alignment horizontal="center" vertical="center" wrapText="1" readingOrder="1"/>
    </xf>
    <xf numFmtId="170" fontId="70" fillId="4" borderId="3" xfId="0" applyNumberFormat="1" applyFont="1" applyFill="1" applyBorder="1" applyAlignment="1">
      <alignment horizontal="center" vertical="center" wrapText="1" readingOrder="1"/>
    </xf>
    <xf numFmtId="170" fontId="45" fillId="4" borderId="11" xfId="0" applyNumberFormat="1" applyFont="1" applyFill="1" applyBorder="1" applyAlignment="1">
      <alignment horizontal="center" vertical="center"/>
    </xf>
    <xf numFmtId="170" fontId="32" fillId="4" borderId="2" xfId="0" applyNumberFormat="1" applyFont="1" applyFill="1" applyBorder="1" applyAlignment="1">
      <alignment vertical="center"/>
    </xf>
    <xf numFmtId="170" fontId="71" fillId="4" borderId="151" xfId="0" applyNumberFormat="1" applyFont="1" applyFill="1" applyBorder="1" applyAlignment="1">
      <alignment horizontal="center" vertical="center"/>
    </xf>
    <xf numFmtId="170" fontId="71" fillId="4" borderId="1" xfId="0" applyNumberFormat="1" applyFont="1" applyFill="1" applyBorder="1" applyAlignment="1">
      <alignment horizontal="center" vertical="center"/>
    </xf>
    <xf numFmtId="170" fontId="18" fillId="4" borderId="2" xfId="0" applyNumberFormat="1" applyFont="1" applyFill="1" applyBorder="1" applyAlignment="1">
      <alignment horizontal="center" vertical="center"/>
    </xf>
    <xf numFmtId="3" fontId="32" fillId="4" borderId="15" xfId="0" applyNumberFormat="1" applyFont="1" applyFill="1" applyBorder="1" applyAlignment="1">
      <alignment horizontal="center" vertical="center"/>
    </xf>
    <xf numFmtId="3" fontId="61" fillId="4" borderId="0" xfId="0" applyNumberFormat="1" applyFont="1" applyFill="1" applyAlignment="1">
      <alignment horizontal="center" vertical="center"/>
    </xf>
    <xf numFmtId="3" fontId="45" fillId="4" borderId="15" xfId="0" applyNumberFormat="1" applyFont="1" applyFill="1" applyBorder="1" applyAlignment="1">
      <alignment horizontal="center" vertical="center"/>
    </xf>
    <xf numFmtId="49" fontId="32" fillId="4" borderId="15" xfId="0" applyNumberFormat="1" applyFont="1" applyFill="1" applyBorder="1" applyAlignment="1">
      <alignment horizontal="center" vertical="center"/>
    </xf>
    <xf numFmtId="172" fontId="45" fillId="4" borderId="10" xfId="0" applyNumberFormat="1" applyFont="1" applyFill="1" applyBorder="1" applyAlignment="1">
      <alignment horizontal="center" vertical="center"/>
    </xf>
    <xf numFmtId="49" fontId="45" fillId="4" borderId="15" xfId="0" applyNumberFormat="1" applyFont="1" applyFill="1" applyBorder="1" applyAlignment="1">
      <alignment horizontal="center" vertical="center"/>
    </xf>
    <xf numFmtId="172" fontId="53" fillId="4" borderId="10" xfId="0" applyNumberFormat="1" applyFont="1" applyFill="1" applyBorder="1" applyAlignment="1">
      <alignment horizontal="center" vertical="center"/>
    </xf>
    <xf numFmtId="0" fontId="34" fillId="4" borderId="0" xfId="0" applyFont="1" applyFill="1"/>
    <xf numFmtId="0" fontId="44" fillId="4" borderId="0" xfId="0" applyFont="1" applyFill="1" applyAlignment="1">
      <alignment horizontal="right" vertical="center"/>
    </xf>
    <xf numFmtId="0" fontId="72" fillId="4" borderId="0" xfId="0" applyFont="1" applyFill="1" applyAlignment="1">
      <alignment horizontal="left" vertical="center" indent="1"/>
    </xf>
    <xf numFmtId="0" fontId="45" fillId="4" borderId="15" xfId="0" applyFont="1" applyFill="1" applyBorder="1" applyAlignment="1">
      <alignment horizontal="left" vertical="center" wrapText="1" indent="1"/>
    </xf>
    <xf numFmtId="0" fontId="45" fillId="4" borderId="10" xfId="0" applyFont="1" applyFill="1" applyBorder="1" applyAlignment="1">
      <alignment horizontal="left" vertical="center" indent="1"/>
    </xf>
    <xf numFmtId="0" fontId="45" fillId="4" borderId="10" xfId="0" applyFont="1" applyFill="1" applyBorder="1" applyAlignment="1">
      <alignment horizontal="left" vertical="center" wrapText="1" indent="1"/>
    </xf>
    <xf numFmtId="0" fontId="0" fillId="4" borderId="35" xfId="0" applyFill="1" applyBorder="1"/>
    <xf numFmtId="0" fontId="0" fillId="4" borderId="36" xfId="0" applyFill="1" applyBorder="1"/>
    <xf numFmtId="0" fontId="0" fillId="4" borderId="157" xfId="0" applyFill="1" applyBorder="1"/>
    <xf numFmtId="170" fontId="32" fillId="0" borderId="21" xfId="0" applyNumberFormat="1" applyFont="1" applyBorder="1" applyAlignment="1">
      <alignment horizontal="center" vertical="center" wrapText="1"/>
    </xf>
    <xf numFmtId="0" fontId="32" fillId="18" borderId="1" xfId="0" applyFont="1" applyFill="1" applyBorder="1" applyAlignment="1">
      <alignment vertical="center" textRotation="90"/>
    </xf>
    <xf numFmtId="0" fontId="32" fillId="18" borderId="54" xfId="0" applyFont="1" applyFill="1" applyBorder="1" applyAlignment="1">
      <alignment vertical="center" textRotation="90"/>
    </xf>
    <xf numFmtId="0" fontId="53" fillId="4" borderId="18" xfId="0" applyFont="1" applyFill="1" applyBorder="1" applyAlignment="1">
      <alignment horizontal="left" vertical="center" wrapText="1" indent="1"/>
    </xf>
    <xf numFmtId="0" fontId="53" fillId="4" borderId="11" xfId="0" applyFont="1" applyFill="1" applyBorder="1" applyAlignment="1">
      <alignment horizontal="left" vertical="center" wrapText="1" indent="1"/>
    </xf>
    <xf numFmtId="0" fontId="56" fillId="4" borderId="6" xfId="0" applyFont="1" applyFill="1" applyBorder="1" applyAlignment="1">
      <alignment horizontal="left" vertical="center" indent="1"/>
    </xf>
    <xf numFmtId="0" fontId="56" fillId="4" borderId="17" xfId="0" applyFont="1" applyFill="1" applyBorder="1" applyAlignment="1">
      <alignment horizontal="left" vertical="center" indent="1"/>
    </xf>
    <xf numFmtId="0" fontId="51" fillId="5" borderId="0" xfId="0" applyFont="1" applyFill="1" applyAlignment="1">
      <alignment vertical="center"/>
    </xf>
    <xf numFmtId="0" fontId="34" fillId="5" borderId="2" xfId="0" applyFont="1" applyFill="1" applyBorder="1" applyAlignment="1">
      <alignment vertical="center"/>
    </xf>
    <xf numFmtId="0" fontId="56" fillId="4" borderId="9" xfId="0" applyFont="1" applyFill="1" applyBorder="1" applyAlignment="1">
      <alignment horizontal="left" vertical="center" indent="1"/>
    </xf>
    <xf numFmtId="0" fontId="56" fillId="4" borderId="10" xfId="0" applyFont="1" applyFill="1" applyBorder="1" applyAlignment="1">
      <alignment horizontal="left" vertical="center" indent="1"/>
    </xf>
    <xf numFmtId="0" fontId="56" fillId="4" borderId="17" xfId="0" applyFont="1" applyFill="1" applyBorder="1" applyAlignment="1">
      <alignment horizontal="center" vertical="center"/>
    </xf>
    <xf numFmtId="0" fontId="56" fillId="4" borderId="6" xfId="0" applyFont="1" applyFill="1" applyBorder="1" applyAlignment="1">
      <alignment horizontal="center" vertical="center"/>
    </xf>
    <xf numFmtId="0" fontId="56" fillId="4" borderId="9" xfId="0" applyFont="1" applyFill="1" applyBorder="1" applyAlignment="1">
      <alignment horizontal="center" vertical="center"/>
    </xf>
    <xf numFmtId="0" fontId="56" fillId="4" borderId="11" xfId="0" applyFont="1" applyFill="1" applyBorder="1" applyAlignment="1">
      <alignment horizontal="center" vertical="center"/>
    </xf>
    <xf numFmtId="0" fontId="53" fillId="4" borderId="151" xfId="0" applyFont="1" applyFill="1" applyBorder="1" applyAlignment="1">
      <alignment horizontal="left" vertical="center" wrapText="1" indent="1"/>
    </xf>
    <xf numFmtId="0" fontId="53" fillId="4" borderId="16" xfId="0" applyFont="1" applyFill="1" applyBorder="1" applyAlignment="1">
      <alignment horizontal="left" vertical="center" wrapText="1" indent="1"/>
    </xf>
    <xf numFmtId="0" fontId="53" fillId="4" borderId="15" xfId="0" applyFont="1" applyFill="1" applyBorder="1" applyAlignment="1">
      <alignment horizontal="left" vertical="center" wrapText="1" indent="1"/>
    </xf>
    <xf numFmtId="0" fontId="53" fillId="4" borderId="8" xfId="0" applyFont="1" applyFill="1" applyBorder="1" applyAlignment="1">
      <alignment horizontal="left" vertical="center" wrapText="1" indent="1"/>
    </xf>
    <xf numFmtId="0" fontId="53" fillId="4" borderId="5" xfId="0" applyFont="1" applyFill="1" applyBorder="1" applyAlignment="1">
      <alignment horizontal="left" vertical="center" wrapText="1" indent="1"/>
    </xf>
    <xf numFmtId="0" fontId="65" fillId="4" borderId="11" xfId="0" applyFont="1" applyFill="1" applyBorder="1" applyAlignment="1">
      <alignment horizontal="center" vertical="center"/>
    </xf>
    <xf numFmtId="0" fontId="65" fillId="4" borderId="8" xfId="0" applyFont="1" applyFill="1" applyBorder="1" applyAlignment="1">
      <alignment horizontal="center" vertical="center"/>
    </xf>
    <xf numFmtId="0" fontId="56" fillId="4" borderId="8" xfId="0" applyFont="1" applyFill="1" applyBorder="1" applyAlignment="1">
      <alignment horizontal="left" vertical="center" indent="1"/>
    </xf>
    <xf numFmtId="3" fontId="65" fillId="4" borderId="7" xfId="0" applyNumberFormat="1" applyFont="1" applyFill="1" applyBorder="1" applyAlignment="1">
      <alignment horizontal="center" vertical="center"/>
    </xf>
    <xf numFmtId="0" fontId="18" fillId="4" borderId="7" xfId="0" applyFont="1" applyFill="1" applyBorder="1" applyAlignment="1">
      <alignment horizontal="center" vertical="center"/>
    </xf>
    <xf numFmtId="0" fontId="65" fillId="4" borderId="7" xfId="0" applyFont="1" applyFill="1" applyBorder="1" applyAlignment="1">
      <alignment horizontal="center" vertical="center"/>
    </xf>
    <xf numFmtId="0" fontId="68" fillId="9" borderId="0" xfId="0" applyFont="1" applyFill="1" applyAlignment="1">
      <alignment horizontal="center" vertical="center" wrapText="1"/>
    </xf>
    <xf numFmtId="0" fontId="30" fillId="20" borderId="58" xfId="0" applyFont="1" applyFill="1" applyBorder="1" applyAlignment="1">
      <alignment horizontal="center" vertical="center"/>
    </xf>
    <xf numFmtId="0" fontId="68" fillId="9" borderId="0" xfId="0" applyFont="1" applyFill="1" applyAlignment="1">
      <alignment horizontal="center" vertical="center"/>
    </xf>
    <xf numFmtId="0" fontId="68" fillId="9" borderId="36" xfId="0" applyFont="1" applyFill="1" applyBorder="1" applyAlignment="1">
      <alignment horizontal="center" vertical="center"/>
    </xf>
    <xf numFmtId="0" fontId="74" fillId="20" borderId="57" xfId="0" applyFont="1" applyFill="1" applyBorder="1" applyAlignment="1">
      <alignment horizontal="center" vertical="center"/>
    </xf>
    <xf numFmtId="0" fontId="30" fillId="19" borderId="0" xfId="0" applyFont="1" applyFill="1" applyAlignment="1">
      <alignment horizontal="center" vertical="center"/>
    </xf>
    <xf numFmtId="0" fontId="30" fillId="19" borderId="118" xfId="0" applyFont="1" applyFill="1" applyBorder="1" applyAlignment="1">
      <alignment horizontal="center" vertical="center"/>
    </xf>
    <xf numFmtId="0" fontId="30" fillId="19" borderId="158" xfId="0" applyFont="1" applyFill="1" applyBorder="1" applyAlignment="1">
      <alignment horizontal="center" vertical="center"/>
    </xf>
    <xf numFmtId="0" fontId="41" fillId="25" borderId="102" xfId="0" applyFont="1" applyFill="1" applyBorder="1" applyAlignment="1">
      <alignment horizontal="center" vertical="center" wrapText="1"/>
    </xf>
    <xf numFmtId="0" fontId="41" fillId="25" borderId="100" xfId="0" applyFont="1" applyFill="1" applyBorder="1" applyAlignment="1">
      <alignment horizontal="center" vertical="center" wrapText="1"/>
    </xf>
    <xf numFmtId="0" fontId="75" fillId="25" borderId="101" xfId="0" applyFont="1" applyFill="1" applyBorder="1" applyAlignment="1">
      <alignment horizontal="center" vertical="center" wrapText="1"/>
    </xf>
    <xf numFmtId="0" fontId="75" fillId="25" borderId="108" xfId="0" applyFont="1" applyFill="1" applyBorder="1" applyAlignment="1">
      <alignment horizontal="center" vertical="center" wrapText="1"/>
    </xf>
    <xf numFmtId="0" fontId="68" fillId="9" borderId="45" xfId="0" applyFont="1" applyFill="1" applyBorder="1" applyAlignment="1">
      <alignment horizontal="center" vertical="center"/>
    </xf>
    <xf numFmtId="0" fontId="30" fillId="9" borderId="0" xfId="0" applyFont="1" applyFill="1" applyAlignment="1">
      <alignment horizontal="center" vertical="center"/>
    </xf>
    <xf numFmtId="0" fontId="30" fillId="9" borderId="36" xfId="0" applyFont="1" applyFill="1" applyBorder="1" applyAlignment="1">
      <alignment horizontal="center" vertical="center"/>
    </xf>
    <xf numFmtId="0" fontId="74" fillId="9" borderId="45" xfId="0" applyFont="1" applyFill="1" applyBorder="1" applyAlignment="1">
      <alignment horizontal="center" vertical="center" wrapText="1" readingOrder="1"/>
    </xf>
    <xf numFmtId="0" fontId="68" fillId="14" borderId="115" xfId="0" applyFont="1" applyFill="1" applyBorder="1" applyAlignment="1">
      <alignment horizontal="center" vertical="center"/>
    </xf>
    <xf numFmtId="0" fontId="76" fillId="14" borderId="114" xfId="0" applyFont="1" applyFill="1" applyBorder="1" applyAlignment="1">
      <alignment horizontal="center" vertical="center"/>
    </xf>
    <xf numFmtId="0" fontId="30" fillId="9" borderId="36" xfId="0" applyFont="1" applyFill="1" applyBorder="1" applyAlignment="1">
      <alignment horizontal="center" vertical="center" wrapText="1" readingOrder="1"/>
    </xf>
    <xf numFmtId="0" fontId="30" fillId="9" borderId="45" xfId="0" applyFont="1" applyFill="1" applyBorder="1" applyAlignment="1">
      <alignment horizontal="center" vertical="center" wrapText="1" readingOrder="1"/>
    </xf>
    <xf numFmtId="0" fontId="30" fillId="9" borderId="45" xfId="0" applyFont="1" applyFill="1" applyBorder="1" applyAlignment="1">
      <alignment horizontal="center" vertical="center"/>
    </xf>
    <xf numFmtId="0" fontId="30" fillId="26" borderId="115" xfId="0" applyFont="1" applyFill="1" applyBorder="1" applyAlignment="1">
      <alignment horizontal="center" vertical="center" wrapText="1" readingOrder="1"/>
    </xf>
    <xf numFmtId="0" fontId="30" fillId="26" borderId="114" xfId="0" applyFont="1" applyFill="1" applyBorder="1" applyAlignment="1">
      <alignment horizontal="center" vertical="center" wrapText="1" readingOrder="1"/>
    </xf>
    <xf numFmtId="0" fontId="30" fillId="19" borderId="119" xfId="0" applyFont="1" applyFill="1" applyBorder="1" applyAlignment="1">
      <alignment horizontal="center" vertical="center"/>
    </xf>
    <xf numFmtId="0" fontId="30" fillId="9" borderId="35" xfId="0" applyFont="1" applyFill="1" applyBorder="1" applyAlignment="1">
      <alignment horizontal="center" vertical="center" wrapText="1"/>
    </xf>
    <xf numFmtId="0" fontId="68" fillId="9" borderId="0" xfId="8" applyFont="1" applyFill="1" applyAlignment="1">
      <alignment horizontal="center" vertical="center"/>
    </xf>
    <xf numFmtId="0" fontId="68" fillId="9" borderId="35" xfId="8" applyFont="1" applyFill="1" applyBorder="1" applyAlignment="1">
      <alignment horizontal="center" vertical="center"/>
    </xf>
    <xf numFmtId="0" fontId="53" fillId="4" borderId="8" xfId="11" applyFont="1" applyFill="1" applyBorder="1" applyAlignment="1">
      <alignment horizontal="left" vertical="center" indent="1"/>
    </xf>
    <xf numFmtId="0" fontId="53" fillId="4" borderId="9" xfId="11" applyFont="1" applyFill="1" applyBorder="1" applyAlignment="1">
      <alignment horizontal="left" vertical="center" indent="1"/>
    </xf>
    <xf numFmtId="0" fontId="53" fillId="4" borderId="10" xfId="11" applyFont="1" applyFill="1" applyBorder="1" applyAlignment="1">
      <alignment horizontal="left" vertical="center" indent="1"/>
    </xf>
    <xf numFmtId="0" fontId="78" fillId="9" borderId="35" xfId="0" applyFont="1" applyFill="1" applyBorder="1" applyAlignment="1">
      <alignment horizontal="center" vertical="center" wrapText="1"/>
    </xf>
    <xf numFmtId="0" fontId="78" fillId="9" borderId="52" xfId="0" applyFont="1" applyFill="1" applyBorder="1" applyAlignment="1">
      <alignment horizontal="center" vertical="center" wrapText="1"/>
    </xf>
    <xf numFmtId="0" fontId="30" fillId="9" borderId="0" xfId="0" applyFont="1" applyFill="1" applyAlignment="1">
      <alignment horizontal="left" vertical="center" indent="1"/>
    </xf>
    <xf numFmtId="3" fontId="30" fillId="9" borderId="0" xfId="0" applyNumberFormat="1" applyFont="1" applyFill="1" applyAlignment="1">
      <alignment vertical="center" wrapText="1"/>
    </xf>
    <xf numFmtId="6" fontId="30" fillId="9" borderId="35" xfId="0" applyNumberFormat="1" applyFont="1" applyFill="1" applyBorder="1" applyAlignment="1">
      <alignment horizontal="center" vertical="center"/>
    </xf>
    <xf numFmtId="0" fontId="30" fillId="9" borderId="39" xfId="0" applyFont="1" applyFill="1" applyBorder="1" applyAlignment="1">
      <alignment horizontal="center" vertical="center" wrapText="1"/>
    </xf>
    <xf numFmtId="0" fontId="30" fillId="9" borderId="39" xfId="0" applyFont="1" applyFill="1" applyBorder="1" applyAlignment="1">
      <alignment horizontal="center" vertical="center"/>
    </xf>
    <xf numFmtId="0" fontId="30" fillId="9" borderId="59" xfId="0" applyFont="1" applyFill="1" applyBorder="1" applyAlignment="1">
      <alignment horizontal="center" vertical="center"/>
    </xf>
    <xf numFmtId="0" fontId="30" fillId="9" borderId="60" xfId="0" applyFont="1" applyFill="1" applyBorder="1" applyAlignment="1">
      <alignment horizontal="center" vertical="center"/>
    </xf>
    <xf numFmtId="0" fontId="30" fillId="9" borderId="47" xfId="0" applyFont="1" applyFill="1" applyBorder="1" applyAlignment="1">
      <alignment horizontal="center" vertical="center"/>
    </xf>
    <xf numFmtId="0" fontId="31" fillId="9" borderId="36" xfId="0" applyFont="1" applyFill="1" applyBorder="1" applyAlignment="1">
      <alignment horizontal="center" vertical="center" wrapText="1"/>
    </xf>
    <xf numFmtId="0" fontId="31" fillId="9" borderId="45" xfId="0" applyFont="1" applyFill="1" applyBorder="1" applyAlignment="1">
      <alignment horizontal="center" vertical="center" wrapText="1"/>
    </xf>
    <xf numFmtId="0" fontId="68" fillId="9" borderId="0" xfId="0" applyFont="1" applyFill="1" applyAlignment="1">
      <alignment horizontal="left" vertical="center" wrapText="1" indent="1"/>
    </xf>
    <xf numFmtId="170" fontId="45" fillId="4" borderId="8" xfId="0" applyNumberFormat="1" applyFont="1" applyFill="1" applyBorder="1" applyAlignment="1">
      <alignment horizontal="center" vertical="center"/>
    </xf>
    <xf numFmtId="170" fontId="45" fillId="4" borderId="10" xfId="0" applyNumberFormat="1" applyFont="1" applyFill="1" applyBorder="1" applyAlignment="1">
      <alignment horizontal="center" vertical="center"/>
    </xf>
    <xf numFmtId="0" fontId="53" fillId="4" borderId="24" xfId="0" applyFont="1" applyFill="1" applyBorder="1" applyAlignment="1">
      <alignment horizontal="left" vertical="center" wrapText="1" indent="1"/>
    </xf>
    <xf numFmtId="0" fontId="53" fillId="4" borderId="6" xfId="0" applyFont="1" applyFill="1" applyBorder="1" applyAlignment="1">
      <alignment horizontal="left" vertical="center" indent="1"/>
    </xf>
    <xf numFmtId="0" fontId="53" fillId="4" borderId="6" xfId="0" applyFont="1" applyFill="1" applyBorder="1" applyAlignment="1">
      <alignment horizontal="left" vertical="center" wrapText="1" indent="1"/>
    </xf>
    <xf numFmtId="0" fontId="53" fillId="4" borderId="9" xfId="0" applyFont="1" applyFill="1" applyBorder="1" applyAlignment="1">
      <alignment horizontal="left" vertical="center" wrapText="1" indent="1"/>
    </xf>
    <xf numFmtId="0" fontId="53" fillId="4" borderId="1" xfId="0" applyFont="1" applyFill="1" applyBorder="1" applyAlignment="1">
      <alignment horizontal="left" vertical="center" wrapText="1" indent="1"/>
    </xf>
    <xf numFmtId="0" fontId="53" fillId="4" borderId="17" xfId="0" applyFont="1" applyFill="1" applyBorder="1" applyAlignment="1">
      <alignment horizontal="left" vertical="center" wrapText="1" indent="1"/>
    </xf>
    <xf numFmtId="0" fontId="53" fillId="0" borderId="17" xfId="0" applyFont="1" applyBorder="1" applyAlignment="1">
      <alignment horizontal="left" vertical="center" wrapText="1" indent="1"/>
    </xf>
    <xf numFmtId="0" fontId="53" fillId="0" borderId="6" xfId="0" applyFont="1" applyBorder="1" applyAlignment="1">
      <alignment horizontal="left" vertical="center" wrapText="1" indent="1"/>
    </xf>
    <xf numFmtId="0" fontId="53" fillId="0" borderId="6" xfId="0" applyFont="1" applyBorder="1" applyAlignment="1">
      <alignment horizontal="left" vertical="center" indent="1"/>
    </xf>
    <xf numFmtId="0" fontId="30" fillId="20" borderId="124" xfId="0" applyFont="1" applyFill="1" applyBorder="1" applyAlignment="1">
      <alignment horizontal="center" vertical="center" wrapText="1" readingOrder="1"/>
    </xf>
    <xf numFmtId="0" fontId="30" fillId="20" borderId="125" xfId="0" applyFont="1" applyFill="1" applyBorder="1" applyAlignment="1">
      <alignment horizontal="center" vertical="center" wrapText="1" readingOrder="1"/>
    </xf>
    <xf numFmtId="0" fontId="30" fillId="19" borderId="120" xfId="0" applyFont="1" applyFill="1" applyBorder="1" applyAlignment="1">
      <alignment horizontal="center" vertical="center"/>
    </xf>
    <xf numFmtId="0" fontId="30" fillId="9" borderId="0" xfId="0" applyFont="1" applyFill="1" applyAlignment="1">
      <alignment vertical="center" wrapText="1" readingOrder="1"/>
    </xf>
    <xf numFmtId="0" fontId="30" fillId="9" borderId="36" xfId="0" applyFont="1" applyFill="1" applyBorder="1" applyAlignment="1">
      <alignment vertical="center" wrapText="1" readingOrder="1"/>
    </xf>
    <xf numFmtId="0" fontId="53" fillId="4" borderId="159" xfId="0" applyFont="1" applyFill="1" applyBorder="1" applyAlignment="1">
      <alignment vertical="center" wrapText="1"/>
    </xf>
    <xf numFmtId="0" fontId="53" fillId="4" borderId="32" xfId="0" applyFont="1" applyFill="1" applyBorder="1" applyAlignment="1">
      <alignment vertical="center" wrapText="1"/>
    </xf>
    <xf numFmtId="0" fontId="53" fillId="4" borderId="29" xfId="0" applyFont="1" applyFill="1" applyBorder="1" applyAlignment="1">
      <alignment vertical="center" wrapText="1"/>
    </xf>
    <xf numFmtId="0" fontId="53" fillId="4" borderId="21" xfId="0" applyFont="1" applyFill="1" applyBorder="1" applyAlignment="1">
      <alignment vertical="center" wrapText="1"/>
    </xf>
    <xf numFmtId="0" fontId="53" fillId="4" borderId="140" xfId="0" applyFont="1" applyFill="1" applyBorder="1" applyAlignment="1">
      <alignment horizontal="left" vertical="center" indent="1"/>
    </xf>
    <xf numFmtId="0" fontId="53" fillId="4" borderId="9" xfId="0" applyFont="1" applyFill="1" applyBorder="1" applyAlignment="1">
      <alignment horizontal="left" vertical="center" indent="1"/>
    </xf>
    <xf numFmtId="0" fontId="30" fillId="27" borderId="141" xfId="0" applyFont="1" applyFill="1" applyBorder="1" applyAlignment="1">
      <alignment horizontal="center" vertical="center" wrapText="1" readingOrder="1"/>
    </xf>
    <xf numFmtId="0" fontId="30" fillId="27" borderId="142" xfId="0" applyFont="1" applyFill="1" applyBorder="1" applyAlignment="1">
      <alignment horizontal="center" vertical="center" wrapText="1" readingOrder="1"/>
    </xf>
    <xf numFmtId="0" fontId="81" fillId="9" borderId="45" xfId="0" applyFont="1" applyFill="1" applyBorder="1" applyAlignment="1">
      <alignment horizontal="center" vertical="center" wrapText="1" readingOrder="1"/>
    </xf>
    <xf numFmtId="170" fontId="70" fillId="4" borderId="0" xfId="0" applyNumberFormat="1" applyFont="1" applyFill="1" applyAlignment="1">
      <alignment horizontal="center" vertical="center" wrapText="1" readingOrder="1"/>
    </xf>
    <xf numFmtId="170" fontId="71" fillId="4" borderId="0" xfId="0" applyNumberFormat="1" applyFont="1" applyFill="1" applyAlignment="1">
      <alignment horizontal="center" vertical="center"/>
    </xf>
    <xf numFmtId="170" fontId="70" fillId="4" borderId="18" xfId="0" applyNumberFormat="1" applyFont="1" applyFill="1" applyBorder="1" applyAlignment="1">
      <alignment horizontal="center" vertical="center" wrapText="1" readingOrder="1"/>
    </xf>
    <xf numFmtId="170" fontId="71" fillId="4" borderId="11" xfId="0" applyNumberFormat="1" applyFont="1" applyFill="1" applyBorder="1" applyAlignment="1">
      <alignment horizontal="center" vertical="center"/>
    </xf>
    <xf numFmtId="166" fontId="32" fillId="4" borderId="0" xfId="0" applyNumberFormat="1" applyFont="1" applyFill="1" applyAlignment="1">
      <alignment horizontal="center" vertical="center"/>
    </xf>
    <xf numFmtId="166" fontId="32" fillId="4" borderId="37" xfId="0" applyNumberFormat="1" applyFont="1" applyFill="1" applyBorder="1" applyAlignment="1">
      <alignment horizontal="center" vertical="center"/>
    </xf>
    <xf numFmtId="0" fontId="45" fillId="4" borderId="0" xfId="0" applyFont="1" applyFill="1" applyAlignment="1">
      <alignment horizontal="left"/>
    </xf>
    <xf numFmtId="0" fontId="30" fillId="9" borderId="35" xfId="0" applyFont="1" applyFill="1" applyBorder="1" applyAlignment="1">
      <alignment horizontal="center" vertical="center" wrapText="1" readingOrder="1"/>
    </xf>
    <xf numFmtId="0" fontId="53" fillId="4" borderId="130" xfId="0" applyFont="1" applyFill="1" applyBorder="1" applyAlignment="1">
      <alignment horizontal="left" vertical="center" wrapText="1" indent="1"/>
    </xf>
    <xf numFmtId="0" fontId="53" fillId="4" borderId="10" xfId="0" applyFont="1" applyFill="1" applyBorder="1" applyAlignment="1">
      <alignment horizontal="left" vertical="center" wrapText="1" indent="1"/>
    </xf>
    <xf numFmtId="0" fontId="53" fillId="4" borderId="134" xfId="0" applyFont="1" applyFill="1" applyBorder="1" applyAlignment="1">
      <alignment horizontal="left" vertical="center" wrapText="1" indent="1"/>
    </xf>
    <xf numFmtId="0" fontId="53" fillId="4" borderId="22" xfId="0" applyFont="1" applyFill="1" applyBorder="1" applyAlignment="1">
      <alignment horizontal="left" vertical="center" wrapText="1" indent="1"/>
    </xf>
    <xf numFmtId="0" fontId="53" fillId="4" borderId="122" xfId="0" applyFont="1" applyFill="1" applyBorder="1" applyAlignment="1">
      <alignment horizontal="left" vertical="center" wrapText="1" indent="1"/>
    </xf>
    <xf numFmtId="0" fontId="53" fillId="4" borderId="19" xfId="0" applyFont="1" applyFill="1" applyBorder="1" applyAlignment="1">
      <alignment horizontal="left" vertical="center" wrapText="1" indent="1"/>
    </xf>
    <xf numFmtId="170" fontId="32" fillId="4" borderId="27" xfId="0" applyNumberFormat="1" applyFont="1" applyFill="1" applyBorder="1" applyAlignment="1">
      <alignment horizontal="center" vertical="center"/>
    </xf>
    <xf numFmtId="0" fontId="30" fillId="4" borderId="61" xfId="0" applyFont="1" applyFill="1" applyBorder="1" applyAlignment="1">
      <alignment horizontal="center" vertical="center" wrapText="1" readingOrder="1"/>
    </xf>
    <xf numFmtId="170" fontId="66" fillId="4" borderId="0" xfId="0" applyNumberFormat="1" applyFont="1" applyFill="1" applyAlignment="1">
      <alignment horizontal="center" vertical="center"/>
    </xf>
    <xf numFmtId="170" fontId="21" fillId="0" borderId="6" xfId="0" applyNumberFormat="1" applyFont="1" applyBorder="1" applyAlignment="1">
      <alignment horizontal="center" vertical="center"/>
    </xf>
    <xf numFmtId="170" fontId="21" fillId="13" borderId="7" xfId="0" applyNumberFormat="1" applyFont="1" applyFill="1" applyBorder="1" applyAlignment="1">
      <alignment horizontal="center" vertical="center"/>
    </xf>
    <xf numFmtId="0" fontId="82" fillId="4" borderId="0" xfId="0" applyFont="1" applyFill="1" applyAlignment="1">
      <alignment horizontal="left" vertical="top"/>
    </xf>
    <xf numFmtId="0" fontId="32" fillId="4" borderId="18" xfId="0" applyFont="1" applyFill="1" applyBorder="1" applyAlignment="1">
      <alignment horizontal="left" vertical="center" wrapText="1" indent="1"/>
    </xf>
    <xf numFmtId="0" fontId="45" fillId="4" borderId="10" xfId="0" applyFont="1" applyFill="1" applyBorder="1" applyAlignment="1">
      <alignment horizontal="center" vertical="center"/>
    </xf>
    <xf numFmtId="6" fontId="18" fillId="4" borderId="5" xfId="1" applyNumberFormat="1" applyFont="1" applyFill="1" applyBorder="1" applyAlignment="1">
      <alignment horizontal="center" vertical="center"/>
    </xf>
    <xf numFmtId="171" fontId="18" fillId="4" borderId="22" xfId="1" applyNumberFormat="1" applyFont="1" applyFill="1" applyBorder="1" applyAlignment="1">
      <alignment horizontal="center" vertical="center"/>
    </xf>
    <xf numFmtId="0" fontId="32" fillId="4" borderId="5" xfId="0" applyFont="1" applyFill="1" applyBorder="1" applyAlignment="1">
      <alignment horizontal="center" vertical="center" wrapText="1"/>
    </xf>
    <xf numFmtId="170" fontId="83" fillId="5" borderId="108" xfId="0" applyNumberFormat="1" applyFont="1" applyFill="1" applyBorder="1" applyAlignment="1">
      <alignment horizontal="center" vertical="center"/>
    </xf>
    <xf numFmtId="170" fontId="83" fillId="5" borderId="100" xfId="0" applyNumberFormat="1" applyFont="1" applyFill="1" applyBorder="1" applyAlignment="1">
      <alignment horizontal="center" vertical="center"/>
    </xf>
    <xf numFmtId="0" fontId="40" fillId="31" borderId="0" xfId="0" applyFont="1" applyFill="1"/>
    <xf numFmtId="0" fontId="79" fillId="31" borderId="0" xfId="0" applyFont="1" applyFill="1" applyAlignment="1">
      <alignment vertical="center"/>
    </xf>
    <xf numFmtId="0" fontId="40" fillId="31" borderId="35" xfId="0" applyFont="1" applyFill="1" applyBorder="1"/>
    <xf numFmtId="0" fontId="68" fillId="9" borderId="63" xfId="0" applyFont="1" applyFill="1" applyBorder="1" applyAlignment="1">
      <alignment horizontal="center" vertical="center"/>
    </xf>
    <xf numFmtId="170" fontId="32" fillId="13" borderId="33" xfId="0" applyNumberFormat="1" applyFont="1" applyFill="1" applyBorder="1" applyAlignment="1">
      <alignment horizontal="center" vertical="center" wrapText="1"/>
    </xf>
    <xf numFmtId="170" fontId="32" fillId="13" borderId="21" xfId="0" applyNumberFormat="1" applyFont="1" applyFill="1" applyBorder="1" applyAlignment="1">
      <alignment horizontal="center" vertical="center" wrapText="1"/>
    </xf>
    <xf numFmtId="170" fontId="32" fillId="13" borderId="32" xfId="0" applyNumberFormat="1" applyFont="1" applyFill="1" applyBorder="1" applyAlignment="1">
      <alignment horizontal="center" vertical="center" wrapText="1"/>
    </xf>
    <xf numFmtId="170" fontId="32" fillId="13" borderId="31" xfId="0" applyNumberFormat="1" applyFont="1" applyFill="1" applyBorder="1" applyAlignment="1">
      <alignment horizontal="center" vertical="center" wrapText="1"/>
    </xf>
    <xf numFmtId="170" fontId="32" fillId="4" borderId="27" xfId="0" applyNumberFormat="1" applyFont="1" applyFill="1" applyBorder="1" applyAlignment="1">
      <alignment horizontal="center" vertical="center" wrapText="1"/>
    </xf>
    <xf numFmtId="170" fontId="32" fillId="13" borderId="2" xfId="0" applyNumberFormat="1" applyFont="1" applyFill="1" applyBorder="1" applyAlignment="1">
      <alignment horizontal="center" vertical="center" wrapText="1"/>
    </xf>
    <xf numFmtId="170" fontId="32" fillId="13" borderId="29" xfId="0" applyNumberFormat="1" applyFont="1" applyFill="1" applyBorder="1" applyAlignment="1">
      <alignment horizontal="center" vertical="center" wrapText="1"/>
    </xf>
    <xf numFmtId="0" fontId="32" fillId="13" borderId="22" xfId="0" applyFont="1" applyFill="1" applyBorder="1" applyAlignment="1">
      <alignment horizontal="left" vertical="center" wrapText="1" indent="1"/>
    </xf>
    <xf numFmtId="0" fontId="32" fillId="13" borderId="19" xfId="0" applyFont="1" applyFill="1" applyBorder="1" applyAlignment="1">
      <alignment horizontal="left" vertical="center" wrapText="1" indent="1"/>
    </xf>
    <xf numFmtId="0" fontId="32" fillId="13" borderId="6" xfId="0" applyFont="1" applyFill="1" applyBorder="1" applyAlignment="1">
      <alignment horizontal="left" vertical="center" wrapText="1" indent="1"/>
    </xf>
    <xf numFmtId="0" fontId="32" fillId="13" borderId="24" xfId="0" applyFont="1" applyFill="1" applyBorder="1" applyAlignment="1">
      <alignment horizontal="left" vertical="center" wrapText="1" indent="1"/>
    </xf>
    <xf numFmtId="0" fontId="32" fillId="4" borderId="30" xfId="0" applyFont="1" applyFill="1" applyBorder="1" applyAlignment="1">
      <alignment horizontal="left" vertical="center" wrapText="1" indent="1"/>
    </xf>
    <xf numFmtId="0" fontId="32" fillId="13" borderId="18" xfId="0" applyFont="1" applyFill="1" applyBorder="1" applyAlignment="1">
      <alignment horizontal="left" vertical="center" wrapText="1" indent="1"/>
    </xf>
    <xf numFmtId="0" fontId="32" fillId="13" borderId="17" xfId="0" applyFont="1" applyFill="1" applyBorder="1" applyAlignment="1">
      <alignment horizontal="left" vertical="center" wrapText="1" indent="1"/>
    </xf>
    <xf numFmtId="0" fontId="32" fillId="4" borderId="18" xfId="7" applyFont="1" applyFill="1" applyBorder="1" applyAlignment="1">
      <alignment horizontal="left" vertical="center" wrapText="1" indent="1"/>
    </xf>
    <xf numFmtId="0" fontId="32" fillId="13" borderId="19" xfId="7" applyFont="1" applyFill="1" applyBorder="1" applyAlignment="1">
      <alignment horizontal="left" vertical="center" wrapText="1" indent="1"/>
    </xf>
    <xf numFmtId="0" fontId="32" fillId="13" borderId="6" xfId="7" applyFont="1" applyFill="1" applyBorder="1" applyAlignment="1">
      <alignment horizontal="left" vertical="center" wrapText="1" indent="1"/>
    </xf>
    <xf numFmtId="0" fontId="32" fillId="13" borderId="18" xfId="7" applyFont="1" applyFill="1" applyBorder="1" applyAlignment="1">
      <alignment horizontal="left" vertical="center" wrapText="1" indent="1"/>
    </xf>
    <xf numFmtId="170" fontId="18" fillId="4" borderId="27" xfId="0" applyNumberFormat="1" applyFont="1" applyFill="1" applyBorder="1" applyAlignment="1">
      <alignment horizontal="center" vertical="center"/>
    </xf>
    <xf numFmtId="0" fontId="30" fillId="15" borderId="47" xfId="0" applyFont="1" applyFill="1" applyBorder="1" applyAlignment="1">
      <alignment horizontal="center" vertical="center"/>
    </xf>
    <xf numFmtId="170" fontId="68" fillId="9" borderId="0" xfId="0" applyNumberFormat="1" applyFont="1" applyFill="1" applyAlignment="1">
      <alignment horizontal="center" vertical="center"/>
    </xf>
    <xf numFmtId="170" fontId="68" fillId="9" borderId="0" xfId="0" applyNumberFormat="1" applyFont="1" applyFill="1" applyAlignment="1">
      <alignment horizontal="center" vertical="center" wrapText="1"/>
    </xf>
    <xf numFmtId="170" fontId="68" fillId="9" borderId="46" xfId="0" applyNumberFormat="1" applyFont="1" applyFill="1" applyBorder="1" applyAlignment="1">
      <alignment horizontal="center" vertical="center"/>
    </xf>
    <xf numFmtId="0" fontId="56" fillId="4" borderId="5" xfId="0" applyFont="1" applyFill="1" applyBorder="1" applyAlignment="1">
      <alignment horizontal="left" vertical="center" indent="1"/>
    </xf>
    <xf numFmtId="0" fontId="56" fillId="4" borderId="15" xfId="0" applyFont="1" applyFill="1" applyBorder="1" applyAlignment="1">
      <alignment horizontal="left" vertical="center" wrapText="1" indent="1"/>
    </xf>
    <xf numFmtId="0" fontId="53" fillId="4" borderId="14" xfId="0" applyFont="1" applyFill="1" applyBorder="1" applyAlignment="1">
      <alignment horizontal="left" vertical="center" indent="1"/>
    </xf>
    <xf numFmtId="0" fontId="53" fillId="4" borderId="7" xfId="0" applyFont="1" applyFill="1" applyBorder="1" applyAlignment="1">
      <alignment horizontal="left" vertical="center" wrapText="1" indent="1"/>
    </xf>
    <xf numFmtId="0" fontId="56" fillId="4" borderId="17" xfId="0" applyFont="1" applyFill="1" applyBorder="1" applyAlignment="1">
      <alignment horizontal="left" vertical="center" wrapText="1" indent="1"/>
    </xf>
    <xf numFmtId="0" fontId="56" fillId="4" borderId="29" xfId="0" applyFont="1" applyFill="1" applyBorder="1" applyAlignment="1">
      <alignment horizontal="left" vertical="center" wrapText="1" indent="1"/>
    </xf>
    <xf numFmtId="0" fontId="68" fillId="9" borderId="35" xfId="0" applyFont="1" applyFill="1" applyBorder="1" applyAlignment="1">
      <alignment horizontal="center" vertical="center" wrapText="1"/>
    </xf>
    <xf numFmtId="3" fontId="32" fillId="4" borderId="1" xfId="0" applyNumberFormat="1" applyFont="1" applyFill="1" applyBorder="1" applyAlignment="1">
      <alignment horizontal="right" vertical="center" wrapText="1" indent="1"/>
    </xf>
    <xf numFmtId="3" fontId="32" fillId="4" borderId="12" xfId="0" applyNumberFormat="1" applyFont="1" applyFill="1" applyBorder="1" applyAlignment="1">
      <alignment horizontal="right" vertical="center" wrapText="1" indent="1"/>
    </xf>
    <xf numFmtId="3" fontId="32" fillId="4" borderId="13" xfId="0" applyNumberFormat="1" applyFont="1" applyFill="1" applyBorder="1" applyAlignment="1">
      <alignment horizontal="right" vertical="center" wrapText="1" indent="1"/>
    </xf>
    <xf numFmtId="3" fontId="32" fillId="4" borderId="23" xfId="0" applyNumberFormat="1" applyFont="1" applyFill="1" applyBorder="1" applyAlignment="1">
      <alignment horizontal="right" vertical="center" wrapText="1" indent="1"/>
    </xf>
    <xf numFmtId="0" fontId="7" fillId="4" borderId="3" xfId="0" applyFont="1" applyFill="1" applyBorder="1" applyAlignment="1">
      <alignment horizontal="center" vertical="center"/>
    </xf>
    <xf numFmtId="3" fontId="32" fillId="4" borderId="29" xfId="0" applyNumberFormat="1" applyFont="1" applyFill="1" applyBorder="1" applyAlignment="1">
      <alignment vertical="center" wrapText="1"/>
    </xf>
    <xf numFmtId="3" fontId="32" fillId="4" borderId="31" xfId="0" applyNumberFormat="1" applyFont="1" applyFill="1" applyBorder="1" applyAlignment="1">
      <alignment vertical="center" wrapText="1"/>
    </xf>
    <xf numFmtId="3" fontId="32" fillId="4" borderId="27" xfId="0" applyNumberFormat="1" applyFont="1" applyFill="1" applyBorder="1" applyAlignment="1">
      <alignment vertical="center" wrapText="1"/>
    </xf>
    <xf numFmtId="2" fontId="30" fillId="9" borderId="0" xfId="0" applyNumberFormat="1" applyFont="1" applyFill="1" applyAlignment="1">
      <alignment vertical="center" wrapText="1"/>
    </xf>
    <xf numFmtId="3" fontId="32" fillId="4" borderId="0" xfId="0" applyNumberFormat="1" applyFont="1" applyFill="1" applyAlignment="1">
      <alignment vertical="center" wrapText="1"/>
    </xf>
    <xf numFmtId="0" fontId="32" fillId="4" borderId="16" xfId="0" applyFont="1" applyFill="1" applyBorder="1" applyAlignment="1">
      <alignment horizontal="center" vertical="center"/>
    </xf>
    <xf numFmtId="0" fontId="53" fillId="4" borderId="10" xfId="0" applyFont="1" applyFill="1" applyBorder="1" applyAlignment="1">
      <alignment horizontal="left" vertical="center" indent="1"/>
    </xf>
    <xf numFmtId="0" fontId="18" fillId="4" borderId="0" xfId="0" applyFont="1" applyFill="1" applyAlignment="1">
      <alignment horizontal="left" vertical="center"/>
    </xf>
    <xf numFmtId="0" fontId="18" fillId="4" borderId="0" xfId="0" applyFont="1" applyFill="1" applyAlignment="1">
      <alignment horizontal="left" vertical="center" wrapText="1" indent="1"/>
    </xf>
    <xf numFmtId="170" fontId="32" fillId="4" borderId="38" xfId="0" applyNumberFormat="1" applyFont="1" applyFill="1" applyBorder="1" applyAlignment="1">
      <alignment horizontal="center" vertical="center"/>
    </xf>
    <xf numFmtId="170" fontId="45" fillId="4" borderId="38" xfId="0" applyNumberFormat="1" applyFont="1" applyFill="1" applyBorder="1" applyAlignment="1">
      <alignment horizontal="center" vertical="center"/>
    </xf>
    <xf numFmtId="170" fontId="45" fillId="4" borderId="37" xfId="0" applyNumberFormat="1" applyFont="1" applyFill="1" applyBorder="1" applyAlignment="1">
      <alignment horizontal="center" vertical="center"/>
    </xf>
    <xf numFmtId="0" fontId="28" fillId="4" borderId="37" xfId="0" applyFont="1" applyFill="1" applyBorder="1"/>
    <xf numFmtId="0" fontId="18" fillId="4" borderId="26" xfId="0" applyFont="1" applyFill="1" applyBorder="1" applyAlignment="1">
      <alignment vertical="center"/>
    </xf>
    <xf numFmtId="0" fontId="18" fillId="4" borderId="26" xfId="0" applyFont="1" applyFill="1" applyBorder="1" applyAlignment="1">
      <alignment vertical="center" wrapText="1"/>
    </xf>
    <xf numFmtId="0" fontId="18" fillId="4" borderId="38" xfId="0" applyFont="1" applyFill="1" applyBorder="1" applyAlignment="1">
      <alignment vertical="center" wrapText="1"/>
    </xf>
    <xf numFmtId="49" fontId="32" fillId="4" borderId="0" xfId="0" applyNumberFormat="1" applyFont="1" applyFill="1"/>
    <xf numFmtId="49" fontId="32" fillId="4" borderId="37" xfId="0" applyNumberFormat="1" applyFont="1" applyFill="1" applyBorder="1"/>
    <xf numFmtId="0" fontId="16" fillId="4" borderId="0" xfId="0" applyFont="1" applyFill="1"/>
    <xf numFmtId="0" fontId="32" fillId="4" borderId="14" xfId="0" applyFont="1" applyFill="1" applyBorder="1" applyAlignment="1">
      <alignment horizontal="center" vertical="center"/>
    </xf>
    <xf numFmtId="0" fontId="47" fillId="4" borderId="18" xfId="0" applyFont="1" applyFill="1" applyBorder="1" applyAlignment="1">
      <alignment horizontal="left" vertical="center" indent="1"/>
    </xf>
    <xf numFmtId="0" fontId="45" fillId="4" borderId="8" xfId="0" applyFont="1" applyFill="1" applyBorder="1" applyAlignment="1">
      <alignment horizontal="left" vertical="center" wrapText="1" indent="1"/>
    </xf>
    <xf numFmtId="0" fontId="45" fillId="4" borderId="14" xfId="0" applyFont="1" applyFill="1" applyBorder="1" applyAlignment="1">
      <alignment horizontal="left" vertical="center" indent="1"/>
    </xf>
    <xf numFmtId="0" fontId="45" fillId="4" borderId="9" xfId="0" applyFont="1" applyFill="1" applyBorder="1" applyAlignment="1">
      <alignment horizontal="left" vertical="center" indent="1"/>
    </xf>
    <xf numFmtId="0" fontId="86" fillId="4" borderId="8" xfId="5" applyFont="1" applyFill="1" applyBorder="1" applyAlignment="1">
      <alignment horizontal="right" vertical="center" indent="1"/>
    </xf>
    <xf numFmtId="0" fontId="86" fillId="4" borderId="9" xfId="5" applyFont="1" applyFill="1" applyBorder="1" applyAlignment="1">
      <alignment horizontal="right" vertical="center" indent="1"/>
    </xf>
    <xf numFmtId="170" fontId="30" fillId="9" borderId="0" xfId="0" applyNumberFormat="1" applyFont="1" applyFill="1" applyAlignment="1">
      <alignment horizontal="center" vertical="center" wrapText="1"/>
    </xf>
    <xf numFmtId="0" fontId="43" fillId="9" borderId="0" xfId="0" applyFont="1" applyFill="1" applyAlignment="1">
      <alignment horizontal="left" vertical="center" wrapText="1" indent="1"/>
    </xf>
    <xf numFmtId="3" fontId="32" fillId="4" borderId="7" xfId="0" applyNumberFormat="1" applyFont="1" applyFill="1" applyBorder="1" applyAlignment="1">
      <alignment horizontal="right" vertical="center" wrapText="1" indent="1"/>
    </xf>
    <xf numFmtId="0" fontId="32" fillId="4" borderId="1" xfId="0" applyFont="1" applyFill="1" applyBorder="1" applyAlignment="1">
      <alignment horizontal="right" vertical="center" wrapText="1" indent="1"/>
    </xf>
    <xf numFmtId="0" fontId="32" fillId="4" borderId="11" xfId="0" applyFont="1" applyFill="1" applyBorder="1" applyAlignment="1">
      <alignment horizontal="right" vertical="center" wrapText="1" indent="1"/>
    </xf>
    <xf numFmtId="0" fontId="32" fillId="4" borderId="39" xfId="0" applyFont="1" applyFill="1" applyBorder="1" applyAlignment="1">
      <alignment horizontal="left" vertical="center" wrapText="1" indent="1"/>
    </xf>
    <xf numFmtId="3" fontId="32" fillId="4" borderId="151" xfId="0" applyNumberFormat="1" applyFont="1" applyFill="1" applyBorder="1" applyAlignment="1">
      <alignment horizontal="right" vertical="center" wrapText="1" indent="1"/>
    </xf>
    <xf numFmtId="3" fontId="32" fillId="4" borderId="39" xfId="0" applyNumberFormat="1" applyFont="1" applyFill="1" applyBorder="1" applyAlignment="1">
      <alignment vertical="center" wrapText="1"/>
    </xf>
    <xf numFmtId="0" fontId="28" fillId="9" borderId="0" xfId="0" applyFont="1" applyFill="1" applyAlignment="1">
      <alignment horizontal="left" vertical="center" indent="1"/>
    </xf>
    <xf numFmtId="0" fontId="46" fillId="4" borderId="36" xfId="0" applyFont="1" applyFill="1" applyBorder="1"/>
    <xf numFmtId="0" fontId="28" fillId="4" borderId="36" xfId="0" applyFont="1" applyFill="1" applyBorder="1" applyAlignment="1">
      <alignment horizontal="left" vertical="center" indent="1"/>
    </xf>
    <xf numFmtId="165" fontId="28" fillId="4" borderId="36" xfId="0" applyNumberFormat="1" applyFont="1" applyFill="1" applyBorder="1" applyAlignment="1">
      <alignment horizontal="center" vertical="center"/>
    </xf>
    <xf numFmtId="167" fontId="28" fillId="4" borderId="36" xfId="0" applyNumberFormat="1" applyFont="1" applyFill="1" applyBorder="1" applyAlignment="1">
      <alignment horizontal="center" vertical="center"/>
    </xf>
    <xf numFmtId="0" fontId="43" fillId="9" borderId="51" xfId="0" applyFont="1" applyFill="1" applyBorder="1" applyAlignment="1">
      <alignment horizontal="left" vertical="center" wrapText="1" indent="1"/>
    </xf>
    <xf numFmtId="0" fontId="43" fillId="9" borderId="41" xfId="0" applyFont="1" applyFill="1" applyBorder="1" applyAlignment="1">
      <alignment horizontal="left" vertical="center" indent="1"/>
    </xf>
    <xf numFmtId="0" fontId="43" fillId="9" borderId="41" xfId="0" applyFont="1" applyFill="1" applyBorder="1" applyAlignment="1">
      <alignment horizontal="left" vertical="center" wrapText="1" indent="1"/>
    </xf>
    <xf numFmtId="3" fontId="32" fillId="4" borderId="0" xfId="0" applyNumberFormat="1" applyFont="1" applyFill="1" applyAlignment="1">
      <alignment horizontal="right" vertical="center" wrapText="1" indent="1"/>
    </xf>
    <xf numFmtId="170" fontId="32" fillId="4" borderId="11" xfId="0" applyNumberFormat="1" applyFont="1" applyFill="1" applyBorder="1" applyAlignment="1">
      <alignment vertical="center"/>
    </xf>
    <xf numFmtId="0" fontId="43" fillId="4" borderId="0" xfId="0" applyFont="1" applyFill="1" applyAlignment="1">
      <alignment horizontal="left" vertical="center" wrapText="1" indent="1"/>
    </xf>
    <xf numFmtId="0" fontId="43" fillId="9" borderId="163" xfId="0" applyFont="1" applyFill="1" applyBorder="1" applyAlignment="1">
      <alignment horizontal="left" vertical="center" wrapText="1" indent="1"/>
    </xf>
    <xf numFmtId="0" fontId="30" fillId="9" borderId="161" xfId="0" applyFont="1" applyFill="1" applyBorder="1" applyAlignment="1">
      <alignment vertical="center" wrapText="1"/>
    </xf>
    <xf numFmtId="0" fontId="30" fillId="9" borderId="0" xfId="0" applyFont="1" applyFill="1" applyAlignment="1">
      <alignment vertical="center" wrapText="1"/>
    </xf>
    <xf numFmtId="3" fontId="32" fillId="4" borderId="17" xfId="0" applyNumberFormat="1" applyFont="1" applyFill="1" applyBorder="1" applyAlignment="1">
      <alignment vertical="center" wrapText="1"/>
    </xf>
    <xf numFmtId="3" fontId="32" fillId="4" borderId="6" xfId="0" applyNumberFormat="1" applyFont="1" applyFill="1" applyBorder="1" applyAlignment="1">
      <alignment vertical="center" wrapText="1"/>
    </xf>
    <xf numFmtId="0" fontId="32" fillId="4" borderId="3" xfId="0" applyFont="1" applyFill="1" applyBorder="1" applyAlignment="1">
      <alignment vertical="center" wrapText="1"/>
    </xf>
    <xf numFmtId="0" fontId="32" fillId="4" borderId="18" xfId="0" applyFont="1" applyFill="1" applyBorder="1" applyAlignment="1">
      <alignment vertical="center" wrapText="1"/>
    </xf>
    <xf numFmtId="0" fontId="45" fillId="4" borderId="8" xfId="0" applyFont="1" applyFill="1" applyBorder="1" applyAlignment="1">
      <alignment horizontal="left" vertical="center" indent="1"/>
    </xf>
    <xf numFmtId="172" fontId="65" fillId="4" borderId="90" xfId="0" applyNumberFormat="1" applyFont="1" applyFill="1" applyBorder="1" applyAlignment="1">
      <alignment horizontal="center" vertical="center"/>
    </xf>
    <xf numFmtId="172" fontId="65" fillId="4" borderId="11" xfId="0" applyNumberFormat="1" applyFont="1" applyFill="1" applyBorder="1" applyAlignment="1">
      <alignment horizontal="center" vertical="center"/>
    </xf>
    <xf numFmtId="0" fontId="30" fillId="15" borderId="164" xfId="0" applyFont="1" applyFill="1" applyBorder="1" applyAlignment="1">
      <alignment horizontal="center" vertical="center"/>
    </xf>
    <xf numFmtId="0" fontId="30" fillId="15" borderId="45" xfId="0" applyFont="1" applyFill="1" applyBorder="1" applyAlignment="1">
      <alignment horizontal="center" vertical="center"/>
    </xf>
    <xf numFmtId="0" fontId="45" fillId="4" borderId="1" xfId="0" applyFont="1" applyFill="1" applyBorder="1" applyAlignment="1">
      <alignment horizontal="center" vertical="center"/>
    </xf>
    <xf numFmtId="0" fontId="45" fillId="4" borderId="140" xfId="0" applyFont="1" applyFill="1" applyBorder="1" applyAlignment="1">
      <alignment horizontal="center" vertical="center"/>
    </xf>
    <xf numFmtId="0" fontId="45" fillId="4" borderId="14" xfId="0" applyFont="1" applyFill="1" applyBorder="1" applyAlignment="1">
      <alignment horizontal="center" vertical="center"/>
    </xf>
    <xf numFmtId="0" fontId="45" fillId="4" borderId="14" xfId="0" applyFont="1" applyFill="1" applyBorder="1" applyAlignment="1">
      <alignment horizontal="left" vertical="center" wrapText="1" indent="1"/>
    </xf>
    <xf numFmtId="0" fontId="45" fillId="4" borderId="9" xfId="0" applyFont="1" applyFill="1" applyBorder="1" applyAlignment="1">
      <alignment horizontal="left" vertical="center" wrapText="1" indent="1"/>
    </xf>
    <xf numFmtId="0" fontId="47" fillId="4" borderId="19" xfId="0" applyFont="1" applyFill="1" applyBorder="1" applyAlignment="1">
      <alignment horizontal="left" vertical="center" indent="1"/>
    </xf>
    <xf numFmtId="0" fontId="47" fillId="4" borderId="6" xfId="0" applyFont="1" applyFill="1" applyBorder="1" applyAlignment="1">
      <alignment horizontal="left" vertical="center" indent="1"/>
    </xf>
    <xf numFmtId="0" fontId="45" fillId="4" borderId="5" xfId="0" applyFont="1" applyFill="1" applyBorder="1" applyAlignment="1">
      <alignment horizontal="left" vertical="center" indent="1"/>
    </xf>
    <xf numFmtId="0" fontId="45" fillId="4" borderId="16" xfId="0" applyFont="1" applyFill="1" applyBorder="1" applyAlignment="1">
      <alignment horizontal="left" vertical="center" indent="1"/>
    </xf>
    <xf numFmtId="0" fontId="43" fillId="9" borderId="50" xfId="0" applyFont="1" applyFill="1" applyBorder="1" applyAlignment="1">
      <alignment horizontal="left" vertical="center" wrapText="1" indent="1"/>
    </xf>
    <xf numFmtId="0" fontId="32" fillId="21" borderId="0" xfId="0" applyFont="1" applyFill="1" applyAlignment="1">
      <alignment horizontal="center" vertical="center" textRotation="90"/>
    </xf>
    <xf numFmtId="0" fontId="53" fillId="4" borderId="140" xfId="0" applyFont="1" applyFill="1" applyBorder="1" applyAlignment="1">
      <alignment horizontal="left" vertical="center" wrapText="1" indent="1"/>
    </xf>
    <xf numFmtId="0" fontId="36" fillId="4" borderId="0" xfId="0" applyFont="1" applyFill="1" applyAlignment="1">
      <alignment vertical="center"/>
    </xf>
    <xf numFmtId="0" fontId="32" fillId="4" borderId="37" xfId="0" applyFont="1" applyFill="1" applyBorder="1"/>
    <xf numFmtId="170" fontId="45" fillId="0" borderId="22" xfId="0" applyNumberFormat="1" applyFont="1" applyBorder="1" applyAlignment="1">
      <alignment horizontal="center" vertical="center"/>
    </xf>
    <xf numFmtId="0" fontId="32" fillId="21" borderId="1" xfId="0" applyFont="1" applyFill="1" applyBorder="1" applyAlignment="1">
      <alignment horizontal="center" vertical="center" textRotation="90"/>
    </xf>
    <xf numFmtId="0" fontId="65" fillId="4" borderId="14" xfId="0" applyFont="1" applyFill="1" applyBorder="1" applyAlignment="1">
      <alignment horizontal="right" vertical="center" indent="1"/>
    </xf>
    <xf numFmtId="0" fontId="65" fillId="4" borderId="9" xfId="0" applyFont="1" applyFill="1" applyBorder="1" applyAlignment="1">
      <alignment horizontal="right" vertical="center" indent="1"/>
    </xf>
    <xf numFmtId="0" fontId="65" fillId="4" borderId="10" xfId="0" applyFont="1" applyFill="1" applyBorder="1" applyAlignment="1">
      <alignment horizontal="right" vertical="center" indent="1"/>
    </xf>
    <xf numFmtId="0" fontId="65" fillId="4" borderId="28" xfId="0" applyFont="1" applyFill="1" applyBorder="1" applyAlignment="1">
      <alignment horizontal="right" vertical="center" indent="1"/>
    </xf>
    <xf numFmtId="0" fontId="65" fillId="4" borderId="12" xfId="0" applyFont="1" applyFill="1" applyBorder="1" applyAlignment="1">
      <alignment horizontal="right" vertical="center" indent="1"/>
    </xf>
    <xf numFmtId="0" fontId="65" fillId="4" borderId="1" xfId="0" applyFont="1" applyFill="1" applyBorder="1" applyAlignment="1">
      <alignment horizontal="right" vertical="center" indent="1"/>
    </xf>
    <xf numFmtId="0" fontId="65" fillId="4" borderId="7" xfId="0" applyFont="1" applyFill="1" applyBorder="1" applyAlignment="1">
      <alignment horizontal="right" vertical="center" indent="1"/>
    </xf>
    <xf numFmtId="0" fontId="65" fillId="4" borderId="11" xfId="0" applyFont="1" applyFill="1" applyBorder="1" applyAlignment="1">
      <alignment horizontal="right" vertical="center" indent="1"/>
    </xf>
    <xf numFmtId="49" fontId="65" fillId="4" borderId="10" xfId="0" applyNumberFormat="1" applyFont="1" applyFill="1" applyBorder="1" applyAlignment="1">
      <alignment horizontal="center" vertical="center"/>
    </xf>
    <xf numFmtId="0" fontId="65" fillId="4" borderId="15" xfId="0" applyFont="1" applyFill="1" applyBorder="1" applyAlignment="1">
      <alignment horizontal="center" vertical="center" wrapText="1"/>
    </xf>
    <xf numFmtId="0" fontId="87" fillId="4" borderId="0" xfId="0" applyFont="1" applyFill="1" applyAlignment="1">
      <alignment vertical="center"/>
    </xf>
    <xf numFmtId="0" fontId="88" fillId="4" borderId="0" xfId="0" applyFont="1" applyFill="1"/>
    <xf numFmtId="0" fontId="87" fillId="4" borderId="0" xfId="0" applyFont="1" applyFill="1" applyAlignment="1">
      <alignment horizontal="center" vertical="center"/>
    </xf>
    <xf numFmtId="0" fontId="48" fillId="32" borderId="3" xfId="0" applyFont="1" applyFill="1" applyBorder="1" applyAlignment="1">
      <alignment vertical="center"/>
    </xf>
    <xf numFmtId="0" fontId="48" fillId="32" borderId="0" xfId="0" applyFont="1" applyFill="1" applyAlignment="1">
      <alignment vertical="center"/>
    </xf>
    <xf numFmtId="170" fontId="32" fillId="0" borderId="6" xfId="8" applyNumberFormat="1" applyFont="1" applyBorder="1" applyAlignment="1">
      <alignment horizontal="center" vertical="center"/>
    </xf>
    <xf numFmtId="170" fontId="32" fillId="0" borderId="9" xfId="8" applyNumberFormat="1" applyFont="1" applyBorder="1" applyAlignment="1">
      <alignment horizontal="center" vertical="center"/>
    </xf>
    <xf numFmtId="0" fontId="32" fillId="4" borderId="8" xfId="0" applyFont="1" applyFill="1" applyBorder="1" applyAlignment="1">
      <alignment horizontal="left" vertical="center" indent="1"/>
    </xf>
    <xf numFmtId="0" fontId="18" fillId="4" borderId="10" xfId="0" applyFont="1" applyFill="1" applyBorder="1" applyAlignment="1">
      <alignment horizontal="left" vertical="center" indent="1"/>
    </xf>
    <xf numFmtId="0" fontId="18" fillId="4" borderId="16" xfId="0" applyFont="1" applyFill="1" applyBorder="1" applyAlignment="1">
      <alignment horizontal="left" vertical="center" indent="1"/>
    </xf>
    <xf numFmtId="0" fontId="32" fillId="4" borderId="14" xfId="0" applyFont="1" applyFill="1" applyBorder="1" applyAlignment="1">
      <alignment horizontal="left" vertical="center" indent="1"/>
    </xf>
    <xf numFmtId="0" fontId="18" fillId="4" borderId="9" xfId="0" applyFont="1" applyFill="1" applyBorder="1" applyAlignment="1">
      <alignment horizontal="left" vertical="center" indent="1"/>
    </xf>
    <xf numFmtId="0" fontId="21" fillId="4" borderId="0" xfId="0" applyFont="1" applyFill="1" applyAlignment="1">
      <alignment horizontal="left" vertical="top"/>
    </xf>
    <xf numFmtId="0" fontId="56" fillId="4" borderId="88" xfId="0" applyFont="1" applyFill="1" applyBorder="1" applyAlignment="1">
      <alignment horizontal="left" vertical="center" wrapText="1" indent="1"/>
    </xf>
    <xf numFmtId="0" fontId="53" fillId="4" borderId="73" xfId="0" applyFont="1" applyFill="1" applyBorder="1" applyAlignment="1">
      <alignment horizontal="left" vertical="center" wrapText="1" indent="1"/>
    </xf>
    <xf numFmtId="172" fontId="65" fillId="23" borderId="167" xfId="0" applyNumberFormat="1" applyFont="1" applyFill="1" applyBorder="1" applyAlignment="1">
      <alignment horizontal="center" vertical="center"/>
    </xf>
    <xf numFmtId="172" fontId="65" fillId="4" borderId="168" xfId="0" applyNumberFormat="1" applyFont="1" applyFill="1" applyBorder="1" applyAlignment="1">
      <alignment horizontal="center" vertical="center"/>
    </xf>
    <xf numFmtId="172" fontId="65" fillId="4" borderId="73" xfId="0" applyNumberFormat="1" applyFont="1" applyFill="1" applyBorder="1" applyAlignment="1">
      <alignment horizontal="center" vertical="center"/>
    </xf>
    <xf numFmtId="170" fontId="32" fillId="13" borderId="11" xfId="0" applyNumberFormat="1" applyFont="1" applyFill="1" applyBorder="1" applyAlignment="1">
      <alignment horizontal="center" vertical="center" wrapText="1"/>
    </xf>
    <xf numFmtId="170" fontId="60" fillId="13" borderId="11" xfId="0" applyNumberFormat="1" applyFont="1" applyFill="1" applyBorder="1" applyAlignment="1">
      <alignment horizontal="center" vertical="center"/>
    </xf>
    <xf numFmtId="170" fontId="60" fillId="4" borderId="11" xfId="0" applyNumberFormat="1" applyFont="1" applyFill="1" applyBorder="1" applyAlignment="1">
      <alignment horizontal="center" vertical="center" wrapText="1"/>
    </xf>
    <xf numFmtId="6" fontId="62" fillId="13" borderId="13" xfId="0" applyNumberFormat="1" applyFont="1" applyFill="1" applyBorder="1" applyAlignment="1">
      <alignment horizontal="center" vertical="center"/>
    </xf>
    <xf numFmtId="170" fontId="32" fillId="0" borderId="18" xfId="8" applyNumberFormat="1" applyFont="1" applyBorder="1" applyAlignment="1">
      <alignment horizontal="center" vertical="center"/>
    </xf>
    <xf numFmtId="170" fontId="32" fillId="0" borderId="10" xfId="8" applyNumberFormat="1" applyFont="1" applyBorder="1" applyAlignment="1">
      <alignment horizontal="center" vertical="center"/>
    </xf>
    <xf numFmtId="0" fontId="43" fillId="9" borderId="36" xfId="0" applyFont="1" applyFill="1" applyBorder="1" applyAlignment="1">
      <alignment horizontal="left" vertical="center" wrapText="1" indent="1"/>
    </xf>
    <xf numFmtId="170" fontId="21" fillId="4" borderId="17" xfId="0" applyNumberFormat="1" applyFont="1" applyFill="1" applyBorder="1" applyAlignment="1">
      <alignment horizontal="center" vertical="center"/>
    </xf>
    <xf numFmtId="170" fontId="68" fillId="22" borderId="169" xfId="0" applyNumberFormat="1" applyFont="1" applyFill="1" applyBorder="1" applyAlignment="1">
      <alignment horizontal="center" vertical="center"/>
    </xf>
    <xf numFmtId="170" fontId="68" fillId="22" borderId="170" xfId="0" applyNumberFormat="1" applyFont="1" applyFill="1" applyBorder="1" applyAlignment="1">
      <alignment horizontal="center" vertical="center"/>
    </xf>
    <xf numFmtId="0" fontId="21" fillId="4" borderId="8" xfId="0" applyFont="1" applyFill="1" applyBorder="1" applyAlignment="1">
      <alignment horizontal="center" vertical="center"/>
    </xf>
    <xf numFmtId="0" fontId="68" fillId="33" borderId="171" xfId="0" applyFont="1" applyFill="1" applyBorder="1" applyAlignment="1">
      <alignment horizontal="center" vertical="center"/>
    </xf>
    <xf numFmtId="0" fontId="76" fillId="33" borderId="173" xfId="0" applyFont="1" applyFill="1" applyBorder="1" applyAlignment="1">
      <alignment horizontal="center" vertical="center"/>
    </xf>
    <xf numFmtId="170" fontId="32" fillId="4" borderId="174" xfId="0" applyNumberFormat="1" applyFont="1" applyFill="1" applyBorder="1" applyAlignment="1">
      <alignment horizontal="center" vertical="center"/>
    </xf>
    <xf numFmtId="0" fontId="32" fillId="4" borderId="174" xfId="0" applyFont="1" applyFill="1" applyBorder="1" applyAlignment="1">
      <alignment horizontal="left" vertical="center" indent="1"/>
    </xf>
    <xf numFmtId="3" fontId="32" fillId="4" borderId="175" xfId="0" applyNumberFormat="1" applyFont="1" applyFill="1" applyBorder="1" applyAlignment="1">
      <alignment horizontal="right" vertical="center" wrapText="1" indent="1"/>
    </xf>
    <xf numFmtId="3" fontId="32" fillId="4" borderId="176" xfId="0" applyNumberFormat="1" applyFont="1" applyFill="1" applyBorder="1" applyAlignment="1">
      <alignment vertical="center" wrapText="1"/>
    </xf>
    <xf numFmtId="4" fontId="28" fillId="4" borderId="0" xfId="0" applyNumberFormat="1" applyFont="1" applyFill="1"/>
    <xf numFmtId="2" fontId="28" fillId="4" borderId="0" xfId="0" applyNumberFormat="1" applyFont="1" applyFill="1"/>
    <xf numFmtId="3" fontId="28" fillId="4" borderId="0" xfId="0" applyNumberFormat="1" applyFont="1" applyFill="1"/>
    <xf numFmtId="0" fontId="45" fillId="4" borderId="88" xfId="0" applyFont="1" applyFill="1" applyBorder="1" applyAlignment="1">
      <alignment horizontal="center" vertical="center"/>
    </xf>
    <xf numFmtId="170" fontId="21" fillId="4" borderId="72" xfId="0" applyNumberFormat="1" applyFont="1" applyFill="1" applyBorder="1" applyAlignment="1">
      <alignment horizontal="center" vertical="center"/>
    </xf>
    <xf numFmtId="171" fontId="18" fillId="13" borderId="73" xfId="1" applyNumberFormat="1" applyFont="1" applyFill="1" applyBorder="1" applyAlignment="1">
      <alignment horizontal="center" vertical="center"/>
    </xf>
    <xf numFmtId="0" fontId="11" fillId="4" borderId="0" xfId="17" applyNumberFormat="1" applyFont="1" applyFill="1" applyBorder="1" applyAlignment="1">
      <alignment horizontal="center" vertical="center" wrapText="1"/>
    </xf>
    <xf numFmtId="1" fontId="12" fillId="4" borderId="0" xfId="17" applyNumberFormat="1" applyFont="1" applyFill="1" applyBorder="1" applyAlignment="1">
      <alignment vertical="top"/>
    </xf>
    <xf numFmtId="0" fontId="24" fillId="4" borderId="0" xfId="5" applyFill="1" applyAlignment="1">
      <alignment horizontal="center" vertical="center" wrapText="1"/>
    </xf>
    <xf numFmtId="0" fontId="4" fillId="4" borderId="0" xfId="0" applyFont="1" applyFill="1" applyAlignment="1">
      <alignment horizontal="right" vertical="center" wrapText="1"/>
    </xf>
    <xf numFmtId="0" fontId="11" fillId="4" borderId="0" xfId="17" applyNumberFormat="1" applyFont="1" applyFill="1" applyBorder="1" applyAlignment="1">
      <alignment horizontal="center" vertical="center" wrapText="1"/>
    </xf>
    <xf numFmtId="1" fontId="12" fillId="4" borderId="0" xfId="17" applyNumberFormat="1" applyFont="1" applyFill="1" applyBorder="1" applyAlignment="1">
      <alignment vertical="top"/>
    </xf>
    <xf numFmtId="0" fontId="31" fillId="4" borderId="0" xfId="0" applyFont="1" applyFill="1" applyAlignment="1">
      <alignment horizontal="center" vertical="center"/>
    </xf>
    <xf numFmtId="0" fontId="28" fillId="4" borderId="0" xfId="0" applyFont="1" applyFill="1" applyAlignment="1">
      <alignment horizontal="center" vertical="center"/>
    </xf>
    <xf numFmtId="6" fontId="2" fillId="4" borderId="0" xfId="0" applyNumberFormat="1" applyFont="1" applyFill="1" applyAlignment="1">
      <alignment horizontal="center" vertical="center" wrapText="1"/>
    </xf>
    <xf numFmtId="0" fontId="31" fillId="4" borderId="0" xfId="0" applyFont="1" applyFill="1" applyAlignment="1">
      <alignment horizontal="center" vertical="center" wrapText="1"/>
    </xf>
    <xf numFmtId="6" fontId="28" fillId="4" borderId="0" xfId="0" applyNumberFormat="1" applyFont="1" applyFill="1" applyAlignment="1">
      <alignment horizontal="center" vertical="center"/>
    </xf>
    <xf numFmtId="0" fontId="6" fillId="4" borderId="0" xfId="0" applyFont="1" applyFill="1" applyAlignment="1">
      <alignment horizontal="left" vertical="center" indent="1"/>
    </xf>
    <xf numFmtId="6" fontId="40" fillId="4" borderId="0" xfId="0" applyNumberFormat="1" applyFont="1" applyFill="1" applyAlignment="1">
      <alignment horizontal="left" vertical="center" wrapText="1"/>
    </xf>
    <xf numFmtId="0" fontId="40" fillId="4" borderId="0" xfId="0" applyFont="1" applyFill="1" applyAlignment="1">
      <alignment horizontal="left" vertical="center" wrapText="1"/>
    </xf>
    <xf numFmtId="0" fontId="6" fillId="4" borderId="0" xfId="0" applyFont="1" applyFill="1" applyAlignment="1">
      <alignment horizontal="left" vertical="center" wrapText="1" indent="1"/>
    </xf>
    <xf numFmtId="0" fontId="41" fillId="7" borderId="0" xfId="0" applyFont="1" applyFill="1" applyAlignment="1">
      <alignment horizontal="center" vertical="center" wrapText="1"/>
    </xf>
    <xf numFmtId="49" fontId="28" fillId="4" borderId="0" xfId="0" applyNumberFormat="1" applyFont="1" applyFill="1" applyAlignment="1">
      <alignment horizontal="center" vertical="center"/>
    </xf>
    <xf numFmtId="6" fontId="30" fillId="4" borderId="0" xfId="0" applyNumberFormat="1" applyFont="1" applyFill="1" applyAlignment="1">
      <alignment horizontal="center" vertical="center" wrapText="1"/>
    </xf>
    <xf numFmtId="49" fontId="2" fillId="4" borderId="0" xfId="0" applyNumberFormat="1" applyFont="1" applyFill="1" applyAlignment="1">
      <alignment horizontal="center" vertical="center" wrapText="1"/>
    </xf>
    <xf numFmtId="49" fontId="3" fillId="4" borderId="0" xfId="0" applyNumberFormat="1" applyFont="1" applyFill="1" applyAlignment="1">
      <alignment horizontal="center" vertical="center" wrapText="1"/>
    </xf>
    <xf numFmtId="0" fontId="32" fillId="18" borderId="136" xfId="0" applyFont="1" applyFill="1" applyBorder="1" applyAlignment="1">
      <alignment horizontal="center" vertical="center" textRotation="90"/>
    </xf>
    <xf numFmtId="0" fontId="32" fillId="18" borderId="1" xfId="0" applyFont="1" applyFill="1" applyBorder="1" applyAlignment="1">
      <alignment horizontal="center" vertical="center" textRotation="90"/>
    </xf>
    <xf numFmtId="0" fontId="53" fillId="4" borderId="3" xfId="0" applyFont="1" applyFill="1" applyBorder="1" applyAlignment="1">
      <alignment horizontal="left" vertical="center" wrapText="1" indent="1"/>
    </xf>
    <xf numFmtId="0" fontId="53" fillId="4" borderId="17" xfId="0" applyFont="1" applyFill="1" applyBorder="1" applyAlignment="1">
      <alignment horizontal="left" vertical="center" wrapText="1" indent="1"/>
    </xf>
    <xf numFmtId="0" fontId="32" fillId="30" borderId="1" xfId="0" applyFont="1" applyFill="1" applyBorder="1" applyAlignment="1">
      <alignment horizontal="center" vertical="center" textRotation="90"/>
    </xf>
    <xf numFmtId="0" fontId="32" fillId="16" borderId="1" xfId="0" applyFont="1" applyFill="1" applyBorder="1" applyAlignment="1">
      <alignment horizontal="center" vertical="center" textRotation="90" wrapText="1"/>
    </xf>
    <xf numFmtId="0" fontId="32" fillId="16" borderId="54" xfId="0" applyFont="1" applyFill="1" applyBorder="1" applyAlignment="1">
      <alignment horizontal="center" vertical="center" textRotation="90" wrapText="1"/>
    </xf>
    <xf numFmtId="0" fontId="73" fillId="4" borderId="24" xfId="0" applyFont="1" applyFill="1" applyBorder="1" applyAlignment="1">
      <alignment horizontal="center" vertical="center" wrapText="1"/>
    </xf>
    <xf numFmtId="0" fontId="73" fillId="4" borderId="32" xfId="0" applyFont="1" applyFill="1" applyBorder="1" applyAlignment="1">
      <alignment horizontal="center" vertical="center" wrapText="1"/>
    </xf>
    <xf numFmtId="0" fontId="73" fillId="4" borderId="25" xfId="0" applyFont="1" applyFill="1" applyBorder="1" applyAlignment="1">
      <alignment horizontal="center" vertical="center" wrapText="1"/>
    </xf>
    <xf numFmtId="0" fontId="73" fillId="4" borderId="6" xfId="0" applyFont="1" applyFill="1" applyBorder="1" applyAlignment="1">
      <alignment horizontal="center" vertical="center" wrapText="1"/>
    </xf>
    <xf numFmtId="0" fontId="73" fillId="4" borderId="21" xfId="0" applyFont="1" applyFill="1" applyBorder="1" applyAlignment="1">
      <alignment horizontal="center" vertical="center" wrapText="1"/>
    </xf>
    <xf numFmtId="0" fontId="73" fillId="4" borderId="7" xfId="0" applyFont="1" applyFill="1" applyBorder="1" applyAlignment="1">
      <alignment horizontal="center" vertical="center" wrapText="1"/>
    </xf>
    <xf numFmtId="0" fontId="32" fillId="28" borderId="136" xfId="0" applyFont="1" applyFill="1" applyBorder="1" applyAlignment="1">
      <alignment horizontal="center" vertical="center" textRotation="90" wrapText="1"/>
    </xf>
    <xf numFmtId="0" fontId="32" fillId="28" borderId="1" xfId="0" applyFont="1" applyFill="1" applyBorder="1" applyAlignment="1">
      <alignment horizontal="center" vertical="center" textRotation="90" wrapText="1"/>
    </xf>
    <xf numFmtId="0" fontId="32" fillId="28" borderId="54" xfId="0" applyFont="1" applyFill="1" applyBorder="1" applyAlignment="1">
      <alignment horizontal="center" vertical="center" textRotation="90" wrapText="1"/>
    </xf>
    <xf numFmtId="0" fontId="32" fillId="17" borderId="53" xfId="0" applyFont="1" applyFill="1" applyBorder="1" applyAlignment="1">
      <alignment horizontal="center" vertical="center" textRotation="90" wrapText="1"/>
    </xf>
    <xf numFmtId="0" fontId="32" fillId="17" borderId="23" xfId="0" applyFont="1" applyFill="1" applyBorder="1" applyAlignment="1">
      <alignment horizontal="center" vertical="center" textRotation="90" wrapText="1"/>
    </xf>
    <xf numFmtId="0" fontId="32" fillId="17" borderId="135" xfId="0" applyFont="1" applyFill="1" applyBorder="1" applyAlignment="1">
      <alignment horizontal="center" vertical="center" textRotation="90" wrapText="1"/>
    </xf>
    <xf numFmtId="0" fontId="52" fillId="4" borderId="9" xfId="0" applyFont="1" applyFill="1" applyBorder="1" applyAlignment="1">
      <alignment horizontal="center" vertical="center" wrapText="1"/>
    </xf>
    <xf numFmtId="0" fontId="30" fillId="9" borderId="0" xfId="0" applyFont="1" applyFill="1" applyAlignment="1">
      <alignment horizontal="center" vertical="center" wrapText="1" readingOrder="1"/>
    </xf>
    <xf numFmtId="0" fontId="30" fillId="9" borderId="36" xfId="0" applyFont="1" applyFill="1" applyBorder="1" applyAlignment="1">
      <alignment horizontal="center" vertical="center" wrapText="1" readingOrder="1"/>
    </xf>
    <xf numFmtId="0" fontId="30" fillId="9" borderId="35" xfId="0" applyFont="1" applyFill="1" applyBorder="1" applyAlignment="1">
      <alignment horizontal="center" vertical="center" wrapText="1" readingOrder="1"/>
    </xf>
    <xf numFmtId="0" fontId="30" fillId="9" borderId="0" xfId="0" applyFont="1" applyFill="1" applyAlignment="1">
      <alignment horizontal="center" vertical="center"/>
    </xf>
    <xf numFmtId="0" fontId="30" fillId="9" borderId="36" xfId="0" applyFont="1" applyFill="1" applyBorder="1" applyAlignment="1">
      <alignment horizontal="center" vertical="center"/>
    </xf>
    <xf numFmtId="0" fontId="30" fillId="9" borderId="35" xfId="0" applyFont="1" applyFill="1" applyBorder="1" applyAlignment="1">
      <alignment horizontal="center" vertical="center"/>
    </xf>
    <xf numFmtId="0" fontId="53" fillId="4" borderId="150" xfId="0" applyFont="1" applyFill="1" applyBorder="1" applyAlignment="1">
      <alignment horizontal="left" vertical="center" wrapText="1" indent="1"/>
    </xf>
    <xf numFmtId="0" fontId="53" fillId="4" borderId="18" xfId="0" applyFont="1" applyFill="1" applyBorder="1" applyAlignment="1">
      <alignment horizontal="left" vertical="center" wrapText="1" indent="1"/>
    </xf>
    <xf numFmtId="0" fontId="32" fillId="4" borderId="16" xfId="0" applyFont="1" applyFill="1" applyBorder="1" applyAlignment="1">
      <alignment horizontal="center" vertical="center" wrapText="1"/>
    </xf>
    <xf numFmtId="0" fontId="32" fillId="4" borderId="10" xfId="0" applyFont="1" applyFill="1" applyBorder="1" applyAlignment="1">
      <alignment horizontal="center" vertical="center" wrapText="1"/>
    </xf>
    <xf numFmtId="0" fontId="53" fillId="4" borderId="24" xfId="0" applyFont="1" applyFill="1" applyBorder="1" applyAlignment="1">
      <alignment horizontal="left" vertical="center" wrapText="1" indent="1"/>
    </xf>
    <xf numFmtId="0" fontId="53" fillId="4" borderId="130" xfId="0" applyFont="1" applyFill="1" applyBorder="1" applyAlignment="1">
      <alignment horizontal="left" vertical="center" wrapText="1" indent="1"/>
    </xf>
    <xf numFmtId="0" fontId="53" fillId="4" borderId="131" xfId="0" applyFont="1" applyFill="1" applyBorder="1" applyAlignment="1">
      <alignment horizontal="left" vertical="center" wrapText="1" indent="1"/>
    </xf>
    <xf numFmtId="0" fontId="53" fillId="4" borderId="6" xfId="0" applyFont="1" applyFill="1" applyBorder="1" applyAlignment="1">
      <alignment horizontal="left" vertical="center" wrapText="1" indent="1"/>
    </xf>
    <xf numFmtId="0" fontId="53" fillId="4" borderId="7" xfId="0" applyFont="1" applyFill="1" applyBorder="1" applyAlignment="1">
      <alignment horizontal="left" vertical="center" wrapText="1" indent="1"/>
    </xf>
    <xf numFmtId="0" fontId="53" fillId="4" borderId="12" xfId="0" applyFont="1" applyFill="1" applyBorder="1" applyAlignment="1">
      <alignment horizontal="left" vertical="center" wrapText="1" indent="1"/>
    </xf>
    <xf numFmtId="0" fontId="53" fillId="0" borderId="6" xfId="0" applyFont="1" applyBorder="1" applyAlignment="1">
      <alignment horizontal="left" vertical="center" wrapText="1" indent="1"/>
    </xf>
    <xf numFmtId="0" fontId="53" fillId="0" borderId="7" xfId="0" applyFont="1" applyBorder="1" applyAlignment="1">
      <alignment horizontal="left" vertical="center" wrapText="1" indent="1"/>
    </xf>
    <xf numFmtId="0" fontId="87" fillId="4" borderId="0" xfId="0" applyFont="1" applyFill="1" applyAlignment="1">
      <alignment horizontal="center" vertical="center" wrapText="1" readingOrder="1"/>
    </xf>
    <xf numFmtId="0" fontId="32" fillId="21" borderId="0" xfId="0" applyFont="1" applyFill="1" applyAlignment="1">
      <alignment horizontal="center" vertical="center" textRotation="90"/>
    </xf>
    <xf numFmtId="0" fontId="32" fillId="21" borderId="160" xfId="0" applyFont="1" applyFill="1" applyBorder="1" applyAlignment="1">
      <alignment horizontal="center" vertical="center" textRotation="90"/>
    </xf>
    <xf numFmtId="0" fontId="68" fillId="9" borderId="0" xfId="11" applyFont="1" applyFill="1" applyAlignment="1">
      <alignment horizontal="left" vertical="center" wrapText="1" indent="1"/>
    </xf>
    <xf numFmtId="0" fontId="68" fillId="9" borderId="0" xfId="8" applyFont="1" applyFill="1" applyAlignment="1">
      <alignment horizontal="center" vertical="center"/>
    </xf>
    <xf numFmtId="0" fontId="68" fillId="9" borderId="0" xfId="0" applyFont="1" applyFill="1" applyAlignment="1">
      <alignment horizontal="center" vertical="center"/>
    </xf>
    <xf numFmtId="0" fontId="68" fillId="9" borderId="35" xfId="0" applyFont="1" applyFill="1" applyBorder="1" applyAlignment="1">
      <alignment horizontal="center" vertical="center"/>
    </xf>
    <xf numFmtId="0" fontId="45" fillId="4" borderId="0" xfId="8" applyFont="1" applyFill="1" applyAlignment="1">
      <alignment horizontal="center" vertical="center"/>
    </xf>
    <xf numFmtId="0" fontId="45" fillId="4" borderId="2" xfId="8" applyFont="1" applyFill="1" applyBorder="1" applyAlignment="1">
      <alignment horizontal="center" vertical="center"/>
    </xf>
    <xf numFmtId="0" fontId="53" fillId="4" borderId="148" xfId="0" applyFont="1" applyFill="1" applyBorder="1" applyAlignment="1">
      <alignment horizontal="left" vertical="center" wrapText="1" indent="1"/>
    </xf>
    <xf numFmtId="0" fontId="53" fillId="4" borderId="149" xfId="0" applyFont="1" applyFill="1" applyBorder="1" applyAlignment="1">
      <alignment horizontal="left" vertical="center" wrapText="1" indent="1"/>
    </xf>
    <xf numFmtId="0" fontId="32" fillId="4" borderId="39" xfId="0" applyFont="1" applyFill="1" applyBorder="1" applyAlignment="1">
      <alignment horizontal="center" vertical="center" wrapText="1"/>
    </xf>
    <xf numFmtId="0" fontId="32" fillId="4" borderId="0" xfId="0" applyFont="1" applyFill="1" applyAlignment="1">
      <alignment horizontal="center" vertical="center" wrapText="1"/>
    </xf>
    <xf numFmtId="0" fontId="32" fillId="4" borderId="2" xfId="0" applyFont="1" applyFill="1" applyBorder="1" applyAlignment="1">
      <alignment horizontal="center" vertical="center" wrapText="1"/>
    </xf>
    <xf numFmtId="0" fontId="30" fillId="9" borderId="39" xfId="0" applyFont="1" applyFill="1" applyBorder="1" applyAlignment="1">
      <alignment horizontal="center" vertical="center" wrapText="1" readingOrder="1"/>
    </xf>
    <xf numFmtId="0" fontId="68" fillId="14" borderId="0" xfId="0" applyFont="1" applyFill="1" applyAlignment="1">
      <alignment horizontal="center" vertical="center"/>
    </xf>
    <xf numFmtId="0" fontId="68" fillId="14" borderId="42" xfId="0" applyFont="1" applyFill="1" applyBorder="1" applyAlignment="1">
      <alignment horizontal="center" vertical="center"/>
    </xf>
    <xf numFmtId="0" fontId="53" fillId="4" borderId="3" xfId="0" applyFont="1" applyFill="1" applyBorder="1" applyAlignment="1">
      <alignment horizontal="left" vertical="center" indent="1"/>
    </xf>
    <xf numFmtId="0" fontId="53" fillId="4" borderId="0" xfId="0" applyFont="1" applyFill="1" applyAlignment="1">
      <alignment horizontal="left" vertical="center" indent="1"/>
    </xf>
    <xf numFmtId="0" fontId="53" fillId="4" borderId="1" xfId="0" applyFont="1" applyFill="1" applyBorder="1" applyAlignment="1">
      <alignment horizontal="left" vertical="center" indent="1"/>
    </xf>
    <xf numFmtId="0" fontId="53" fillId="4" borderId="18" xfId="0" applyFont="1" applyFill="1" applyBorder="1" applyAlignment="1">
      <alignment horizontal="left" vertical="center" indent="1"/>
    </xf>
    <xf numFmtId="0" fontId="53" fillId="4" borderId="2" xfId="0" applyFont="1" applyFill="1" applyBorder="1" applyAlignment="1">
      <alignment horizontal="left" vertical="center" indent="1"/>
    </xf>
    <xf numFmtId="0" fontId="53" fillId="4" borderId="11" xfId="0" applyFont="1" applyFill="1" applyBorder="1" applyAlignment="1">
      <alignment horizontal="left" vertical="center" indent="1"/>
    </xf>
    <xf numFmtId="0" fontId="74" fillId="9" borderId="0" xfId="0" applyFont="1" applyFill="1" applyAlignment="1">
      <alignment horizontal="center" vertical="center" wrapText="1" readingOrder="1"/>
    </xf>
    <xf numFmtId="0" fontId="74" fillId="9" borderId="35" xfId="0" applyFont="1" applyFill="1" applyBorder="1" applyAlignment="1">
      <alignment horizontal="center" vertical="center" wrapText="1" readingOrder="1"/>
    </xf>
    <xf numFmtId="0" fontId="30" fillId="20" borderId="0" xfId="0" applyFont="1" applyFill="1" applyAlignment="1">
      <alignment horizontal="center" vertical="center"/>
    </xf>
    <xf numFmtId="0" fontId="30" fillId="20" borderId="58" xfId="0" applyFont="1" applyFill="1" applyBorder="1" applyAlignment="1">
      <alignment horizontal="center" vertical="center"/>
    </xf>
    <xf numFmtId="0" fontId="56" fillId="4" borderId="6" xfId="0" applyFont="1" applyFill="1" applyBorder="1" applyAlignment="1">
      <alignment horizontal="left" vertical="center" wrapText="1" indent="1"/>
    </xf>
    <xf numFmtId="0" fontId="56" fillId="4" borderId="21" xfId="0" applyFont="1" applyFill="1" applyBorder="1" applyAlignment="1">
      <alignment horizontal="left" vertical="center" wrapText="1" indent="1"/>
    </xf>
    <xf numFmtId="0" fontId="56" fillId="4" borderId="7" xfId="0" applyFont="1" applyFill="1" applyBorder="1" applyAlignment="1">
      <alignment horizontal="left" vertical="center" wrapText="1" indent="1"/>
    </xf>
    <xf numFmtId="0" fontId="30" fillId="20" borderId="56" xfId="0" applyFont="1" applyFill="1" applyBorder="1" applyAlignment="1">
      <alignment horizontal="center" vertical="center"/>
    </xf>
    <xf numFmtId="0" fontId="56" fillId="4" borderId="6" xfId="0" applyFont="1" applyFill="1" applyBorder="1" applyAlignment="1">
      <alignment horizontal="left" vertical="center" indent="1"/>
    </xf>
    <xf numFmtId="0" fontId="56" fillId="4" borderId="21" xfId="0" applyFont="1" applyFill="1" applyBorder="1" applyAlignment="1">
      <alignment horizontal="left" vertical="center" indent="1"/>
    </xf>
    <xf numFmtId="0" fontId="53" fillId="4" borderId="21" xfId="0" applyFont="1" applyFill="1" applyBorder="1" applyAlignment="1">
      <alignment horizontal="left" vertical="center" wrapText="1" indent="1"/>
    </xf>
    <xf numFmtId="0" fontId="53" fillId="4" borderId="32" xfId="0" applyFont="1" applyFill="1" applyBorder="1" applyAlignment="1">
      <alignment horizontal="left" vertical="center" wrapText="1" indent="1"/>
    </xf>
    <xf numFmtId="0" fontId="53" fillId="4" borderId="25" xfId="0" applyFont="1" applyFill="1" applyBorder="1" applyAlignment="1">
      <alignment horizontal="left" vertical="center" wrapText="1" indent="1"/>
    </xf>
    <xf numFmtId="0" fontId="53" fillId="4" borderId="17" xfId="0" applyFont="1" applyFill="1" applyBorder="1" applyAlignment="1">
      <alignment horizontal="left" vertical="center" indent="1"/>
    </xf>
    <xf numFmtId="0" fontId="53" fillId="4" borderId="29" xfId="0" applyFont="1" applyFill="1" applyBorder="1" applyAlignment="1">
      <alignment horizontal="left" vertical="center" indent="1"/>
    </xf>
    <xf numFmtId="0" fontId="53" fillId="4" borderId="12" xfId="0" applyFont="1" applyFill="1" applyBorder="1" applyAlignment="1">
      <alignment horizontal="left" vertical="center" indent="1"/>
    </xf>
    <xf numFmtId="170" fontId="68" fillId="22" borderId="80" xfId="0" applyNumberFormat="1" applyFont="1" applyFill="1" applyBorder="1" applyAlignment="1">
      <alignment horizontal="center" vertical="center"/>
    </xf>
    <xf numFmtId="0" fontId="68" fillId="22" borderId="0" xfId="0" applyFont="1" applyFill="1" applyAlignment="1">
      <alignment horizontal="center" vertical="center"/>
    </xf>
    <xf numFmtId="0" fontId="68" fillId="22" borderId="169" xfId="0" applyFont="1" applyFill="1" applyBorder="1" applyAlignment="1">
      <alignment horizontal="center" vertical="center"/>
    </xf>
    <xf numFmtId="0" fontId="56" fillId="4" borderId="17" xfId="0" applyFont="1" applyFill="1" applyBorder="1" applyAlignment="1">
      <alignment horizontal="left" vertical="center" indent="1"/>
    </xf>
    <xf numFmtId="0" fontId="56" fillId="4" borderId="29" xfId="0" applyFont="1" applyFill="1" applyBorder="1" applyAlignment="1">
      <alignment horizontal="left" vertical="center" indent="1"/>
    </xf>
    <xf numFmtId="0" fontId="56" fillId="4" borderId="12" xfId="0" applyFont="1" applyFill="1" applyBorder="1" applyAlignment="1">
      <alignment horizontal="left" vertical="center" indent="1"/>
    </xf>
    <xf numFmtId="0" fontId="41" fillId="25" borderId="102" xfId="0" applyFont="1" applyFill="1" applyBorder="1" applyAlignment="1">
      <alignment horizontal="center" vertical="center" wrapText="1"/>
    </xf>
    <xf numFmtId="0" fontId="41" fillId="25" borderId="101" xfId="0" applyFont="1" applyFill="1" applyBorder="1" applyAlignment="1">
      <alignment horizontal="center" vertical="center" wrapText="1"/>
    </xf>
    <xf numFmtId="166" fontId="32" fillId="4" borderId="16" xfId="0" applyNumberFormat="1" applyFont="1" applyFill="1" applyBorder="1" applyAlignment="1">
      <alignment horizontal="center" vertical="center"/>
    </xf>
    <xf numFmtId="166" fontId="32" fillId="4" borderId="105" xfId="0" applyNumberFormat="1" applyFont="1" applyFill="1" applyBorder="1" applyAlignment="1">
      <alignment horizontal="center" vertical="center"/>
    </xf>
    <xf numFmtId="0" fontId="56" fillId="4" borderId="7" xfId="0" applyFont="1" applyFill="1" applyBorder="1" applyAlignment="1">
      <alignment horizontal="left" vertical="center" indent="1"/>
    </xf>
    <xf numFmtId="0" fontId="30" fillId="19" borderId="0" xfId="0" applyFont="1" applyFill="1" applyAlignment="1">
      <alignment horizontal="center" vertical="center"/>
    </xf>
    <xf numFmtId="0" fontId="30" fillId="19" borderId="55" xfId="0" applyFont="1" applyFill="1" applyBorder="1" applyAlignment="1">
      <alignment horizontal="center" vertical="center"/>
    </xf>
    <xf numFmtId="0" fontId="56" fillId="4" borderId="24" xfId="0" applyFont="1" applyFill="1" applyBorder="1" applyAlignment="1">
      <alignment horizontal="left" vertical="center" wrapText="1" indent="1"/>
    </xf>
    <xf numFmtId="0" fontId="56" fillId="4" borderId="32" xfId="0" applyFont="1" applyFill="1" applyBorder="1" applyAlignment="1">
      <alignment horizontal="left" vertical="center" wrapText="1" indent="1"/>
    </xf>
    <xf numFmtId="0" fontId="56" fillId="4" borderId="25" xfId="0" applyFont="1" applyFill="1" applyBorder="1" applyAlignment="1">
      <alignment horizontal="left" vertical="center" wrapText="1" indent="1"/>
    </xf>
    <xf numFmtId="0" fontId="30" fillId="19" borderId="118" xfId="0" applyFont="1" applyFill="1" applyBorder="1" applyAlignment="1">
      <alignment horizontal="center" vertical="center"/>
    </xf>
    <xf numFmtId="0" fontId="56" fillId="4" borderId="24" xfId="0" applyFont="1" applyFill="1" applyBorder="1" applyAlignment="1">
      <alignment horizontal="left" vertical="center" indent="1"/>
    </xf>
    <xf numFmtId="0" fontId="56" fillId="4" borderId="32" xfId="0" applyFont="1" applyFill="1" applyBorder="1" applyAlignment="1">
      <alignment horizontal="left" vertical="center" indent="1"/>
    </xf>
    <xf numFmtId="0" fontId="56" fillId="4" borderId="25" xfId="0" applyFont="1" applyFill="1" applyBorder="1" applyAlignment="1">
      <alignment horizontal="left" vertical="center" indent="1"/>
    </xf>
    <xf numFmtId="0" fontId="56" fillId="4" borderId="17" xfId="0" applyFont="1" applyFill="1" applyBorder="1" applyAlignment="1">
      <alignment horizontal="left" vertical="center" wrapText="1" indent="1"/>
    </xf>
    <xf numFmtId="0" fontId="56" fillId="4" borderId="29" xfId="0" applyFont="1" applyFill="1" applyBorder="1" applyAlignment="1">
      <alignment horizontal="left" vertical="center" wrapText="1" indent="1"/>
    </xf>
    <xf numFmtId="0" fontId="56" fillId="4" borderId="12" xfId="0" applyFont="1" applyFill="1" applyBorder="1" applyAlignment="1">
      <alignment horizontal="left" vertical="center" wrapText="1" indent="1"/>
    </xf>
    <xf numFmtId="0" fontId="68" fillId="33" borderId="0" xfId="0" applyFont="1" applyFill="1" applyAlignment="1">
      <alignment horizontal="center" vertical="center"/>
    </xf>
    <xf numFmtId="0" fontId="68" fillId="33" borderId="172" xfId="0" applyFont="1" applyFill="1" applyBorder="1" applyAlignment="1">
      <alignment horizontal="center" vertical="center"/>
    </xf>
    <xf numFmtId="0" fontId="56" fillId="4" borderId="22" xfId="0" applyFont="1" applyFill="1" applyBorder="1" applyAlignment="1">
      <alignment horizontal="left" vertical="center" wrapText="1" indent="1"/>
    </xf>
    <xf numFmtId="0" fontId="56" fillId="4" borderId="31" xfId="0" applyFont="1" applyFill="1" applyBorder="1" applyAlignment="1">
      <alignment horizontal="left" vertical="center" wrapText="1" indent="1"/>
    </xf>
    <xf numFmtId="0" fontId="56" fillId="4" borderId="13" xfId="0" applyFont="1" applyFill="1" applyBorder="1" applyAlignment="1">
      <alignment horizontal="left" vertical="center" wrapText="1" indent="1"/>
    </xf>
    <xf numFmtId="0" fontId="41" fillId="25" borderId="103" xfId="0" applyFont="1" applyFill="1" applyBorder="1" applyAlignment="1">
      <alignment horizontal="center" vertical="center" wrapText="1"/>
    </xf>
    <xf numFmtId="0" fontId="41" fillId="25" borderId="100" xfId="0" applyFont="1" applyFill="1" applyBorder="1" applyAlignment="1">
      <alignment horizontal="center" vertical="center" wrapText="1"/>
    </xf>
    <xf numFmtId="0" fontId="68" fillId="9" borderId="36" xfId="0" applyFont="1" applyFill="1" applyBorder="1" applyAlignment="1">
      <alignment horizontal="center" vertical="center"/>
    </xf>
    <xf numFmtId="0" fontId="56" fillId="7" borderId="138" xfId="0" applyFont="1" applyFill="1" applyBorder="1" applyAlignment="1">
      <alignment horizontal="left" vertical="center" wrapText="1" indent="1"/>
    </xf>
    <xf numFmtId="0" fontId="56" fillId="7" borderId="139" xfId="0" applyFont="1" applyFill="1" applyBorder="1" applyAlignment="1">
      <alignment horizontal="left" vertical="center" wrapText="1" indent="1"/>
    </xf>
    <xf numFmtId="0" fontId="56" fillId="7" borderId="109" xfId="0" applyFont="1" applyFill="1" applyBorder="1" applyAlignment="1">
      <alignment horizontal="left" vertical="center" wrapText="1" indent="1"/>
    </xf>
    <xf numFmtId="0" fontId="53" fillId="4" borderId="106" xfId="0" applyFont="1" applyFill="1" applyBorder="1" applyAlignment="1">
      <alignment horizontal="left" vertical="center" wrapText="1" indent="1"/>
    </xf>
    <xf numFmtId="0" fontId="53" fillId="4" borderId="107" xfId="0" applyFont="1" applyFill="1" applyBorder="1" applyAlignment="1">
      <alignment horizontal="left" vertical="center" wrapText="1" indent="1"/>
    </xf>
    <xf numFmtId="0" fontId="68" fillId="33" borderId="171" xfId="0" applyFont="1" applyFill="1" applyBorder="1" applyAlignment="1">
      <alignment horizontal="center" vertical="center"/>
    </xf>
    <xf numFmtId="0" fontId="53" fillId="4" borderId="104" xfId="0" applyFont="1" applyFill="1" applyBorder="1" applyAlignment="1">
      <alignment horizontal="left" vertical="center" wrapText="1" indent="1"/>
    </xf>
    <xf numFmtId="0" fontId="53" fillId="4" borderId="2" xfId="0" applyFont="1" applyFill="1" applyBorder="1" applyAlignment="1">
      <alignment horizontal="left" vertical="center" wrapText="1" indent="1"/>
    </xf>
    <xf numFmtId="0" fontId="53" fillId="4" borderId="11" xfId="0" applyFont="1" applyFill="1" applyBorder="1" applyAlignment="1">
      <alignment horizontal="left" vertical="center" wrapText="1" indent="1"/>
    </xf>
    <xf numFmtId="0" fontId="41" fillId="25" borderId="0" xfId="0" applyFont="1" applyFill="1" applyAlignment="1">
      <alignment horizontal="center" vertical="center" wrapText="1"/>
    </xf>
    <xf numFmtId="0" fontId="53" fillId="4" borderId="22" xfId="0" applyFont="1" applyFill="1" applyBorder="1" applyAlignment="1">
      <alignment horizontal="left" vertical="center" wrapText="1" indent="1"/>
    </xf>
    <xf numFmtId="0" fontId="53" fillId="4" borderId="13" xfId="0" applyFont="1" applyFill="1" applyBorder="1" applyAlignment="1">
      <alignment horizontal="left" vertical="center" wrapText="1" indent="1"/>
    </xf>
    <xf numFmtId="0" fontId="56" fillId="4" borderId="8" xfId="0" applyFont="1" applyFill="1" applyBorder="1" applyAlignment="1">
      <alignment horizontal="left" vertical="center" indent="1"/>
    </xf>
    <xf numFmtId="0" fontId="30" fillId="9" borderId="45" xfId="0" applyFont="1" applyFill="1" applyBorder="1" applyAlignment="1">
      <alignment horizontal="center" vertical="center" wrapText="1" readingOrder="1"/>
    </xf>
    <xf numFmtId="0" fontId="74" fillId="9" borderId="36" xfId="0" applyFont="1" applyFill="1" applyBorder="1" applyAlignment="1">
      <alignment horizontal="center" vertical="center" wrapText="1" readingOrder="1"/>
    </xf>
    <xf numFmtId="0" fontId="74" fillId="9" borderId="45" xfId="0" applyFont="1" applyFill="1" applyBorder="1" applyAlignment="1">
      <alignment horizontal="center" vertical="center" wrapText="1" readingOrder="1"/>
    </xf>
    <xf numFmtId="0" fontId="53" fillId="4" borderId="29" xfId="0" applyFont="1" applyFill="1" applyBorder="1" applyAlignment="1">
      <alignment horizontal="left" vertical="center" wrapText="1" indent="1"/>
    </xf>
    <xf numFmtId="0" fontId="53" fillId="4" borderId="31" xfId="0" applyFont="1" applyFill="1" applyBorder="1" applyAlignment="1">
      <alignment horizontal="left" vertical="center" wrapText="1" indent="1"/>
    </xf>
    <xf numFmtId="0" fontId="68" fillId="14" borderId="115" xfId="0" applyFont="1" applyFill="1" applyBorder="1" applyAlignment="1">
      <alignment horizontal="center" vertical="center"/>
    </xf>
    <xf numFmtId="166" fontId="32" fillId="4" borderId="10" xfId="0" applyNumberFormat="1" applyFont="1" applyFill="1" applyBorder="1" applyAlignment="1">
      <alignment horizontal="center" vertical="center"/>
    </xf>
    <xf numFmtId="0" fontId="56" fillId="4" borderId="72" xfId="0" applyFont="1" applyFill="1" applyBorder="1" applyAlignment="1">
      <alignment horizontal="left" vertical="center" wrapText="1" indent="1"/>
    </xf>
    <xf numFmtId="0" fontId="56" fillId="4" borderId="166" xfId="0" applyFont="1" applyFill="1" applyBorder="1" applyAlignment="1">
      <alignment horizontal="left" vertical="center" wrapText="1" indent="1"/>
    </xf>
    <xf numFmtId="0" fontId="56" fillId="4" borderId="73" xfId="0" applyFont="1" applyFill="1" applyBorder="1" applyAlignment="1">
      <alignment horizontal="left" vertical="center" wrapText="1" indent="1"/>
    </xf>
    <xf numFmtId="0" fontId="56" fillId="4" borderId="72" xfId="0" applyFont="1" applyFill="1" applyBorder="1" applyAlignment="1">
      <alignment horizontal="left" vertical="center" indent="1"/>
    </xf>
    <xf numFmtId="0" fontId="56" fillId="4" borderId="166" xfId="0" applyFont="1" applyFill="1" applyBorder="1" applyAlignment="1">
      <alignment horizontal="left" vertical="center" indent="1"/>
    </xf>
    <xf numFmtId="0" fontId="56" fillId="4" borderId="73" xfId="0" applyFont="1" applyFill="1" applyBorder="1" applyAlignment="1">
      <alignment horizontal="left" vertical="center" indent="1"/>
    </xf>
    <xf numFmtId="0" fontId="56" fillId="4" borderId="18" xfId="0" applyFont="1" applyFill="1" applyBorder="1" applyAlignment="1">
      <alignment horizontal="left" vertical="center" indent="1"/>
    </xf>
    <xf numFmtId="0" fontId="56" fillId="4" borderId="2" xfId="0" applyFont="1" applyFill="1" applyBorder="1" applyAlignment="1">
      <alignment horizontal="left" vertical="center" indent="1"/>
    </xf>
    <xf numFmtId="0" fontId="56" fillId="4" borderId="11" xfId="0" applyFont="1" applyFill="1" applyBorder="1" applyAlignment="1">
      <alignment horizontal="left" vertical="center" indent="1"/>
    </xf>
    <xf numFmtId="0" fontId="56" fillId="4" borderId="98" xfId="0" applyFont="1" applyFill="1" applyBorder="1" applyAlignment="1">
      <alignment horizontal="left" vertical="center" indent="1"/>
    </xf>
    <xf numFmtId="0" fontId="56" fillId="4" borderId="97" xfId="0" applyFont="1" applyFill="1" applyBorder="1" applyAlignment="1">
      <alignment horizontal="left" vertical="center" indent="1"/>
    </xf>
    <xf numFmtId="170" fontId="32" fillId="4" borderId="0" xfId="0" applyNumberFormat="1" applyFont="1" applyFill="1" applyAlignment="1">
      <alignment horizontal="center" vertical="center" wrapText="1"/>
    </xf>
    <xf numFmtId="0" fontId="30" fillId="27" borderId="0" xfId="0" applyFont="1" applyFill="1" applyAlignment="1">
      <alignment horizontal="center" vertical="center" wrapText="1" readingOrder="1"/>
    </xf>
    <xf numFmtId="0" fontId="30" fillId="27" borderId="55" xfId="0" applyFont="1" applyFill="1" applyBorder="1" applyAlignment="1">
      <alignment horizontal="center" vertical="center" wrapText="1" readingOrder="1"/>
    </xf>
    <xf numFmtId="0" fontId="30" fillId="20" borderId="0" xfId="0" applyFont="1" applyFill="1" applyAlignment="1">
      <alignment horizontal="center" vertical="center" wrapText="1" readingOrder="1"/>
    </xf>
    <xf numFmtId="0" fontId="30" fillId="20" borderId="124" xfId="0" applyFont="1" applyFill="1" applyBorder="1" applyAlignment="1">
      <alignment horizontal="center" vertical="center" wrapText="1" readingOrder="1"/>
    </xf>
    <xf numFmtId="0" fontId="30" fillId="19" borderId="120" xfId="0" applyFont="1" applyFill="1" applyBorder="1" applyAlignment="1">
      <alignment horizontal="center" vertical="center"/>
    </xf>
    <xf numFmtId="0" fontId="24" fillId="9" borderId="0" xfId="5" applyFill="1" applyAlignment="1">
      <alignment horizontal="center" vertical="center"/>
    </xf>
    <xf numFmtId="0" fontId="24" fillId="9" borderId="0" xfId="5" applyFill="1" applyBorder="1" applyAlignment="1">
      <alignment horizontal="center" vertical="center"/>
    </xf>
    <xf numFmtId="0" fontId="30" fillId="26" borderId="0" xfId="0" applyFont="1" applyFill="1" applyAlignment="1">
      <alignment horizontal="center" vertical="center" wrapText="1" readingOrder="1"/>
    </xf>
    <xf numFmtId="0" fontId="30" fillId="26" borderId="115" xfId="0" applyFont="1" applyFill="1" applyBorder="1" applyAlignment="1">
      <alignment horizontal="center" vertical="center" wrapText="1" readingOrder="1"/>
    </xf>
    <xf numFmtId="0" fontId="30" fillId="27" borderId="113" xfId="0" applyFont="1" applyFill="1" applyBorder="1" applyAlignment="1">
      <alignment horizontal="center" vertical="center" wrapText="1" readingOrder="1"/>
    </xf>
    <xf numFmtId="0" fontId="30" fillId="27" borderId="143" xfId="0" applyFont="1" applyFill="1" applyBorder="1" applyAlignment="1">
      <alignment horizontal="center" vertical="center" wrapText="1" readingOrder="1"/>
    </xf>
    <xf numFmtId="0" fontId="68" fillId="9" borderId="0" xfId="0" applyFont="1" applyFill="1" applyAlignment="1">
      <alignment horizontal="left" vertical="center" indent="1"/>
    </xf>
    <xf numFmtId="0" fontId="30" fillId="19" borderId="116" xfId="0" applyFont="1" applyFill="1" applyBorder="1" applyAlignment="1">
      <alignment horizontal="center" vertical="center"/>
    </xf>
    <xf numFmtId="0" fontId="30" fillId="19" borderId="117" xfId="0" applyFont="1" applyFill="1" applyBorder="1" applyAlignment="1">
      <alignment horizontal="center" vertical="center"/>
    </xf>
    <xf numFmtId="0" fontId="30" fillId="20" borderId="127" xfId="0" applyFont="1" applyFill="1" applyBorder="1" applyAlignment="1">
      <alignment horizontal="center" vertical="center" wrapText="1" readingOrder="1"/>
    </xf>
    <xf numFmtId="0" fontId="30" fillId="20" borderId="126" xfId="0" applyFont="1" applyFill="1" applyBorder="1" applyAlignment="1">
      <alignment horizontal="center" vertical="center" wrapText="1" readingOrder="1"/>
    </xf>
    <xf numFmtId="0" fontId="83" fillId="5" borderId="128" xfId="0" applyFont="1" applyFill="1" applyBorder="1" applyAlignment="1">
      <alignment horizontal="center" vertical="center" wrapText="1"/>
    </xf>
    <xf numFmtId="0" fontId="83" fillId="5" borderId="144" xfId="0" applyFont="1" applyFill="1" applyBorder="1" applyAlignment="1">
      <alignment horizontal="center" vertical="center" wrapText="1"/>
    </xf>
    <xf numFmtId="0" fontId="30" fillId="9" borderId="61" xfId="0" applyFont="1" applyFill="1" applyBorder="1" applyAlignment="1">
      <alignment horizontal="center" vertical="center" wrapText="1" readingOrder="1"/>
    </xf>
    <xf numFmtId="0" fontId="30" fillId="9" borderId="129" xfId="0" applyFont="1" applyFill="1" applyBorder="1" applyAlignment="1">
      <alignment horizontal="center" vertical="center" wrapText="1" readingOrder="1"/>
    </xf>
    <xf numFmtId="0" fontId="45" fillId="21" borderId="1" xfId="0" applyFont="1" applyFill="1" applyBorder="1" applyAlignment="1">
      <alignment horizontal="center" vertical="center" textRotation="90"/>
    </xf>
    <xf numFmtId="0" fontId="83" fillId="25" borderId="103" xfId="0" applyFont="1" applyFill="1" applyBorder="1" applyAlignment="1">
      <alignment horizontal="center" vertical="center" wrapText="1"/>
    </xf>
    <xf numFmtId="0" fontId="83" fillId="25" borderId="100" xfId="0" applyFont="1" applyFill="1" applyBorder="1" applyAlignment="1">
      <alignment horizontal="center" vertical="center" wrapText="1"/>
    </xf>
    <xf numFmtId="0" fontId="30" fillId="27" borderId="141" xfId="0" applyFont="1" applyFill="1" applyBorder="1" applyAlignment="1">
      <alignment horizontal="center" vertical="center" wrapText="1" readingOrder="1"/>
    </xf>
    <xf numFmtId="0" fontId="30" fillId="20" borderId="56" xfId="0" applyFont="1" applyFill="1" applyBorder="1" applyAlignment="1">
      <alignment horizontal="center" vertical="center" wrapText="1" readingOrder="1"/>
    </xf>
    <xf numFmtId="170" fontId="83" fillId="5" borderId="0" xfId="0" applyNumberFormat="1" applyFont="1" applyFill="1" applyAlignment="1">
      <alignment horizontal="center" vertical="center"/>
    </xf>
    <xf numFmtId="170" fontId="83" fillId="5" borderId="99" xfId="0" applyNumberFormat="1" applyFont="1" applyFill="1" applyBorder="1" applyAlignment="1">
      <alignment horizontal="center" vertical="center"/>
    </xf>
    <xf numFmtId="0" fontId="30" fillId="26" borderId="0" xfId="0" applyFont="1" applyFill="1" applyAlignment="1">
      <alignment horizontal="center" vertical="center" readingOrder="1"/>
    </xf>
    <xf numFmtId="0" fontId="30" fillId="26" borderId="42" xfId="0" applyFont="1" applyFill="1" applyBorder="1" applyAlignment="1">
      <alignment horizontal="center" vertical="center" readingOrder="1"/>
    </xf>
    <xf numFmtId="0" fontId="45" fillId="4" borderId="16" xfId="11" applyFont="1" applyFill="1" applyBorder="1" applyAlignment="1">
      <alignment horizontal="center" vertical="center"/>
    </xf>
    <xf numFmtId="0" fontId="45" fillId="4" borderId="10" xfId="11" applyFont="1" applyFill="1" applyBorder="1" applyAlignment="1">
      <alignment horizontal="center" vertical="center"/>
    </xf>
    <xf numFmtId="166" fontId="39" fillId="4" borderId="0" xfId="0" applyNumberFormat="1" applyFont="1" applyFill="1" applyAlignment="1">
      <alignment horizontal="center" vertical="center"/>
    </xf>
    <xf numFmtId="0" fontId="43" fillId="4" borderId="0" xfId="0" applyFont="1" applyFill="1" applyAlignment="1">
      <alignment horizontal="center" vertical="center" wrapText="1"/>
    </xf>
    <xf numFmtId="0" fontId="30" fillId="9" borderId="0" xfId="0" applyFont="1" applyFill="1" applyAlignment="1">
      <alignment horizontal="center" vertical="center" wrapText="1"/>
    </xf>
    <xf numFmtId="0" fontId="30" fillId="9" borderId="35" xfId="0" applyFont="1" applyFill="1" applyBorder="1" applyAlignment="1">
      <alignment horizontal="center" vertical="center" wrapText="1"/>
    </xf>
    <xf numFmtId="0" fontId="30" fillId="9" borderId="0" xfId="0" applyFont="1" applyFill="1" applyAlignment="1">
      <alignment horizontal="left" vertical="center" wrapText="1" indent="1"/>
    </xf>
    <xf numFmtId="170" fontId="32" fillId="4" borderId="39" xfId="0" applyNumberFormat="1" applyFont="1" applyFill="1" applyBorder="1" applyAlignment="1">
      <alignment horizontal="center" vertical="center"/>
    </xf>
    <xf numFmtId="170" fontId="32" fillId="4" borderId="0" xfId="0" applyNumberFormat="1" applyFont="1" applyFill="1" applyAlignment="1">
      <alignment horizontal="center" vertical="center"/>
    </xf>
    <xf numFmtId="0" fontId="30" fillId="9" borderId="161" xfId="0" applyFont="1" applyFill="1" applyBorder="1" applyAlignment="1">
      <alignment horizontal="center" vertical="center" wrapText="1"/>
    </xf>
    <xf numFmtId="3" fontId="30" fillId="9" borderId="0" xfId="0" applyNumberFormat="1" applyFont="1" applyFill="1" applyAlignment="1">
      <alignment horizontal="center" vertical="center" wrapText="1"/>
    </xf>
    <xf numFmtId="2" fontId="30" fillId="9" borderId="162" xfId="0" applyNumberFormat="1" applyFont="1" applyFill="1" applyBorder="1" applyAlignment="1">
      <alignment horizontal="center" vertical="center" wrapText="1"/>
    </xf>
    <xf numFmtId="2" fontId="84" fillId="9" borderId="71" xfId="0" applyNumberFormat="1" applyFont="1" applyFill="1" applyBorder="1" applyAlignment="1">
      <alignment horizontal="center" vertical="center" textRotation="90" wrapText="1"/>
    </xf>
    <xf numFmtId="2" fontId="84" fillId="31" borderId="71" xfId="0" applyNumberFormat="1" applyFont="1" applyFill="1" applyBorder="1" applyAlignment="1">
      <alignment horizontal="center" vertical="center" textRotation="90" wrapText="1"/>
    </xf>
    <xf numFmtId="0" fontId="32" fillId="21" borderId="91" xfId="0" applyFont="1" applyFill="1" applyBorder="1" applyAlignment="1">
      <alignment horizontal="center" vertical="center" textRotation="90"/>
    </xf>
    <xf numFmtId="0" fontId="30" fillId="9" borderId="36" xfId="0" applyFont="1" applyFill="1" applyBorder="1" applyAlignment="1">
      <alignment horizontal="center" vertical="center" wrapText="1"/>
    </xf>
    <xf numFmtId="0" fontId="30" fillId="9" borderId="45" xfId="0" applyFont="1" applyFill="1" applyBorder="1" applyAlignment="1">
      <alignment horizontal="center" vertical="center" wrapText="1"/>
    </xf>
    <xf numFmtId="170" fontId="32" fillId="4" borderId="1" xfId="0" applyNumberFormat="1" applyFont="1" applyFill="1" applyBorder="1" applyAlignment="1">
      <alignment horizontal="center" vertical="center"/>
    </xf>
    <xf numFmtId="170" fontId="32" fillId="4" borderId="2" xfId="0" applyNumberFormat="1" applyFont="1" applyFill="1" applyBorder="1" applyAlignment="1">
      <alignment horizontal="center" vertical="center"/>
    </xf>
    <xf numFmtId="170" fontId="32" fillId="4" borderId="11" xfId="0" applyNumberFormat="1" applyFont="1" applyFill="1" applyBorder="1" applyAlignment="1">
      <alignment horizontal="center" vertical="center"/>
    </xf>
    <xf numFmtId="0" fontId="43" fillId="9" borderId="0" xfId="0" applyFont="1" applyFill="1" applyAlignment="1">
      <alignment horizontal="left" vertical="center" wrapText="1" indent="1"/>
    </xf>
    <xf numFmtId="0" fontId="43" fillId="9" borderId="36" xfId="0" applyFont="1" applyFill="1" applyBorder="1" applyAlignment="1">
      <alignment horizontal="left" vertical="center" wrapText="1" indent="1"/>
    </xf>
    <xf numFmtId="0" fontId="32" fillId="4" borderId="0" xfId="0" applyFont="1" applyFill="1" applyAlignment="1">
      <alignment horizontal="left" vertical="center" indent="1"/>
    </xf>
    <xf numFmtId="0" fontId="32" fillId="4" borderId="2" xfId="0" applyFont="1" applyFill="1" applyBorder="1" applyAlignment="1">
      <alignment horizontal="left" vertical="center" indent="1"/>
    </xf>
    <xf numFmtId="0" fontId="43" fillId="9" borderId="0" xfId="0" applyFont="1" applyFill="1" applyAlignment="1">
      <alignment horizontal="left" vertical="center" indent="1"/>
    </xf>
    <xf numFmtId="0" fontId="43" fillId="9" borderId="51" xfId="0" applyFont="1" applyFill="1" applyBorder="1" applyAlignment="1">
      <alignment horizontal="left" vertical="center" indent="1"/>
    </xf>
    <xf numFmtId="170" fontId="30" fillId="9" borderId="0" xfId="0" applyNumberFormat="1" applyFont="1" applyFill="1" applyAlignment="1">
      <alignment horizontal="center" vertical="center"/>
    </xf>
    <xf numFmtId="170" fontId="30" fillId="9" borderId="35" xfId="0" applyNumberFormat="1" applyFont="1" applyFill="1" applyBorder="1" applyAlignment="1">
      <alignment horizontal="center" vertical="center"/>
    </xf>
    <xf numFmtId="170" fontId="32" fillId="4" borderId="29" xfId="0" applyNumberFormat="1" applyFont="1" applyFill="1" applyBorder="1" applyAlignment="1">
      <alignment horizontal="center" vertical="center"/>
    </xf>
    <xf numFmtId="170" fontId="32" fillId="4" borderId="31" xfId="0" applyNumberFormat="1" applyFont="1" applyFill="1" applyBorder="1" applyAlignment="1">
      <alignment horizontal="center" vertical="center"/>
    </xf>
    <xf numFmtId="170" fontId="32" fillId="4" borderId="27" xfId="0" applyNumberFormat="1" applyFont="1" applyFill="1" applyBorder="1" applyAlignment="1">
      <alignment horizontal="center" vertical="center"/>
    </xf>
    <xf numFmtId="170" fontId="32" fillId="4" borderId="39" xfId="0" applyNumberFormat="1" applyFont="1" applyFill="1" applyBorder="1" applyAlignment="1">
      <alignment horizontal="center" vertical="center" wrapText="1"/>
    </xf>
    <xf numFmtId="170" fontId="32" fillId="4" borderId="151" xfId="0" applyNumberFormat="1" applyFont="1" applyFill="1" applyBorder="1" applyAlignment="1">
      <alignment horizontal="center" vertical="center" wrapText="1"/>
    </xf>
    <xf numFmtId="170" fontId="32" fillId="4" borderId="1" xfId="0" applyNumberFormat="1" applyFont="1" applyFill="1" applyBorder="1" applyAlignment="1">
      <alignment horizontal="center" vertical="center" wrapText="1"/>
    </xf>
    <xf numFmtId="170" fontId="32" fillId="4" borderId="29" xfId="0" applyNumberFormat="1" applyFont="1" applyFill="1" applyBorder="1" applyAlignment="1">
      <alignment horizontal="center" vertical="center" wrapText="1"/>
    </xf>
    <xf numFmtId="170" fontId="32" fillId="4" borderId="12" xfId="0" applyNumberFormat="1" applyFont="1" applyFill="1" applyBorder="1" applyAlignment="1">
      <alignment horizontal="center" vertical="center" wrapText="1"/>
    </xf>
    <xf numFmtId="170" fontId="32" fillId="4" borderId="23" xfId="0" applyNumberFormat="1" applyFont="1" applyFill="1" applyBorder="1" applyAlignment="1">
      <alignment horizontal="center" vertical="center"/>
    </xf>
    <xf numFmtId="0" fontId="30" fillId="9" borderId="0" xfId="0" applyFont="1" applyFill="1" applyAlignment="1">
      <alignment horizontal="left" vertical="center" indent="1"/>
    </xf>
    <xf numFmtId="0" fontId="32" fillId="21" borderId="35" xfId="0" applyFont="1" applyFill="1" applyBorder="1" applyAlignment="1">
      <alignment horizontal="center" vertical="center" textRotation="90"/>
    </xf>
    <xf numFmtId="0" fontId="68" fillId="9" borderId="71" xfId="0" applyFont="1" applyFill="1" applyBorder="1" applyAlignment="1">
      <alignment horizontal="center" vertical="center" wrapText="1"/>
    </xf>
    <xf numFmtId="0" fontId="68" fillId="9" borderId="35" xfId="0" applyFont="1" applyFill="1" applyBorder="1" applyAlignment="1">
      <alignment horizontal="center" vertical="center" wrapText="1"/>
    </xf>
    <xf numFmtId="0" fontId="68" fillId="9" borderId="61" xfId="0" applyFont="1" applyFill="1" applyBorder="1" applyAlignment="1">
      <alignment horizontal="center" vertical="center" wrapText="1"/>
    </xf>
    <xf numFmtId="0" fontId="68" fillId="9" borderId="0" xfId="0" applyFont="1" applyFill="1" applyAlignment="1">
      <alignment horizontal="center" vertical="center" wrapText="1"/>
    </xf>
    <xf numFmtId="0" fontId="68" fillId="9" borderId="63" xfId="0" applyFont="1" applyFill="1" applyBorder="1" applyAlignment="1">
      <alignment horizontal="center" vertical="center" wrapText="1"/>
    </xf>
    <xf numFmtId="0" fontId="68" fillId="9" borderId="52" xfId="0" applyFont="1" applyFill="1" applyBorder="1" applyAlignment="1">
      <alignment horizontal="center" vertical="center" wrapText="1"/>
    </xf>
    <xf numFmtId="0" fontId="32" fillId="4" borderId="2" xfId="0" applyFont="1" applyFill="1" applyBorder="1" applyAlignment="1">
      <alignment horizontal="left" vertical="center" wrapText="1" indent="1"/>
    </xf>
    <xf numFmtId="0" fontId="32" fillId="4" borderId="11" xfId="0" applyFont="1" applyFill="1" applyBorder="1" applyAlignment="1">
      <alignment horizontal="left" vertical="center" wrapText="1" indent="1"/>
    </xf>
    <xf numFmtId="0" fontId="32" fillId="4" borderId="27" xfId="0" applyFont="1" applyFill="1" applyBorder="1" applyAlignment="1">
      <alignment horizontal="left" vertical="center" wrapText="1" indent="1"/>
    </xf>
    <xf numFmtId="0" fontId="32" fillId="4" borderId="23" xfId="0" applyFont="1" applyFill="1" applyBorder="1" applyAlignment="1">
      <alignment horizontal="left" vertical="center" wrapText="1" indent="1"/>
    </xf>
    <xf numFmtId="0" fontId="68" fillId="9" borderId="39" xfId="0" applyFont="1" applyFill="1" applyBorder="1" applyAlignment="1">
      <alignment horizontal="center" vertical="center" wrapText="1"/>
    </xf>
    <xf numFmtId="0" fontId="43" fillId="9" borderId="66" xfId="0" applyFont="1" applyFill="1" applyBorder="1" applyAlignment="1">
      <alignment horizontal="left" vertical="center" wrapText="1" indent="1"/>
    </xf>
    <xf numFmtId="0" fontId="43" fillId="9" borderId="51" xfId="0" applyFont="1" applyFill="1" applyBorder="1" applyAlignment="1">
      <alignment horizontal="left" vertical="center" wrapText="1" indent="1"/>
    </xf>
    <xf numFmtId="0" fontId="43" fillId="9" borderId="66" xfId="0" applyFont="1" applyFill="1" applyBorder="1" applyAlignment="1">
      <alignment horizontal="left" vertical="center" indent="1"/>
    </xf>
    <xf numFmtId="0" fontId="68" fillId="9" borderId="39" xfId="0" applyFont="1" applyFill="1" applyBorder="1" applyAlignment="1">
      <alignment horizontal="left" vertical="center" indent="1"/>
    </xf>
    <xf numFmtId="0" fontId="68" fillId="9" borderId="51" xfId="0" applyFont="1" applyFill="1" applyBorder="1" applyAlignment="1">
      <alignment horizontal="left" vertical="center" indent="1"/>
    </xf>
    <xf numFmtId="0" fontId="78" fillId="31" borderId="0" xfId="0" applyFont="1" applyFill="1" applyAlignment="1">
      <alignment horizontal="center" vertical="center" wrapText="1"/>
    </xf>
    <xf numFmtId="0" fontId="30" fillId="9" borderId="39" xfId="0" applyFont="1" applyFill="1" applyBorder="1" applyAlignment="1">
      <alignment horizontal="center" vertical="center" wrapText="1"/>
    </xf>
    <xf numFmtId="0" fontId="30" fillId="9" borderId="40" xfId="0" applyFont="1" applyFill="1" applyBorder="1" applyAlignment="1">
      <alignment horizontal="center" vertical="center" wrapText="1"/>
    </xf>
    <xf numFmtId="0" fontId="81" fillId="31" borderId="0" xfId="0" applyFont="1" applyFill="1" applyAlignment="1">
      <alignment horizontal="center" vertical="center" wrapText="1"/>
    </xf>
    <xf numFmtId="0" fontId="81" fillId="31" borderId="35" xfId="0" applyFont="1" applyFill="1" applyBorder="1" applyAlignment="1">
      <alignment horizontal="center" vertical="center" wrapText="1"/>
    </xf>
    <xf numFmtId="0" fontId="32" fillId="4" borderId="2" xfId="7" applyFont="1" applyFill="1" applyBorder="1" applyAlignment="1">
      <alignment horizontal="left" vertical="center" wrapText="1" indent="1"/>
    </xf>
    <xf numFmtId="0" fontId="32" fillId="4" borderId="11" xfId="7" applyFont="1" applyFill="1" applyBorder="1" applyAlignment="1">
      <alignment horizontal="left" vertical="center" wrapText="1" indent="1"/>
    </xf>
    <xf numFmtId="0" fontId="68" fillId="9" borderId="39" xfId="0" applyFont="1" applyFill="1" applyBorder="1" applyAlignment="1">
      <alignment horizontal="center" vertical="center"/>
    </xf>
    <xf numFmtId="0" fontId="68" fillId="9" borderId="65" xfId="0" applyFont="1" applyFill="1" applyBorder="1" applyAlignment="1">
      <alignment horizontal="center" vertical="center"/>
    </xf>
    <xf numFmtId="0" fontId="68" fillId="9" borderId="52" xfId="0" applyFont="1" applyFill="1" applyBorder="1" applyAlignment="1">
      <alignment horizontal="center" vertical="center"/>
    </xf>
    <xf numFmtId="0" fontId="68" fillId="9" borderId="40" xfId="0" applyFont="1" applyFill="1" applyBorder="1" applyAlignment="1">
      <alignment horizontal="center" vertical="center" wrapText="1"/>
    </xf>
    <xf numFmtId="0" fontId="32" fillId="21" borderId="111" xfId="0" applyFont="1" applyFill="1" applyBorder="1" applyAlignment="1">
      <alignment horizontal="center" vertical="center" textRotation="90"/>
    </xf>
    <xf numFmtId="0" fontId="84" fillId="9" borderId="64" xfId="0" applyFont="1" applyFill="1" applyBorder="1" applyAlignment="1">
      <alignment horizontal="center" vertical="center" textRotation="90" wrapText="1"/>
    </xf>
    <xf numFmtId="0" fontId="84" fillId="9" borderId="63" xfId="0" applyFont="1" applyFill="1" applyBorder="1" applyAlignment="1">
      <alignment horizontal="center" vertical="center" textRotation="90" wrapText="1"/>
    </xf>
    <xf numFmtId="0" fontId="84" fillId="31" borderId="63" xfId="0" applyFont="1" applyFill="1" applyBorder="1" applyAlignment="1">
      <alignment horizontal="center" vertical="center" textRotation="90" wrapText="1"/>
    </xf>
    <xf numFmtId="0" fontId="68" fillId="9" borderId="62" xfId="0" applyFont="1" applyFill="1" applyBorder="1" applyAlignment="1">
      <alignment horizontal="center" vertical="center" wrapText="1"/>
    </xf>
    <xf numFmtId="0" fontId="76" fillId="31" borderId="0" xfId="0" applyFont="1" applyFill="1" applyAlignment="1">
      <alignment horizontal="center" vertical="center" wrapText="1"/>
    </xf>
    <xf numFmtId="0" fontId="68" fillId="9" borderId="61" xfId="0" applyFont="1" applyFill="1" applyBorder="1" applyAlignment="1">
      <alignment horizontal="center" vertical="center"/>
    </xf>
    <xf numFmtId="170" fontId="30" fillId="9" borderId="0" xfId="0" applyNumberFormat="1" applyFont="1" applyFill="1" applyAlignment="1">
      <alignment horizontal="center" vertical="center" wrapText="1"/>
    </xf>
    <xf numFmtId="0" fontId="32" fillId="4" borderId="29" xfId="0" applyFont="1" applyFill="1" applyBorder="1" applyAlignment="1">
      <alignment horizontal="center" vertical="center"/>
    </xf>
    <xf numFmtId="0" fontId="32" fillId="4" borderId="12" xfId="0" applyFont="1" applyFill="1" applyBorder="1" applyAlignment="1">
      <alignment horizontal="center" vertical="center"/>
    </xf>
    <xf numFmtId="170" fontId="32" fillId="4" borderId="174" xfId="0" applyNumberFormat="1" applyFont="1" applyFill="1" applyBorder="1" applyAlignment="1">
      <alignment horizontal="center" vertical="center"/>
    </xf>
    <xf numFmtId="170" fontId="32" fillId="4" borderId="175" xfId="0" applyNumberFormat="1" applyFont="1" applyFill="1" applyBorder="1" applyAlignment="1">
      <alignment horizontal="center" vertical="center"/>
    </xf>
    <xf numFmtId="170" fontId="30" fillId="9" borderId="110" xfId="0" applyNumberFormat="1" applyFont="1" applyFill="1" applyBorder="1" applyAlignment="1">
      <alignment horizontal="center" vertical="center" wrapText="1"/>
    </xf>
    <xf numFmtId="170" fontId="30" fillId="9" borderId="35" xfId="0" applyNumberFormat="1" applyFont="1" applyFill="1" applyBorder="1" applyAlignment="1">
      <alignment horizontal="center" vertical="center" wrapText="1"/>
    </xf>
    <xf numFmtId="0" fontId="30" fillId="9" borderId="110" xfId="0" applyFont="1" applyFill="1" applyBorder="1" applyAlignment="1">
      <alignment horizontal="center" vertical="center"/>
    </xf>
    <xf numFmtId="170" fontId="32" fillId="4" borderId="21" xfId="0" applyNumberFormat="1" applyFont="1" applyFill="1" applyBorder="1" applyAlignment="1">
      <alignment horizontal="center" vertical="center"/>
    </xf>
    <xf numFmtId="170" fontId="32" fillId="4" borderId="7" xfId="0" applyNumberFormat="1" applyFont="1" applyFill="1" applyBorder="1" applyAlignment="1">
      <alignment horizontal="center" vertical="center"/>
    </xf>
    <xf numFmtId="0" fontId="43" fillId="9" borderId="0" xfId="0" applyFont="1" applyFill="1" applyAlignment="1">
      <alignment horizontal="center" vertical="center"/>
    </xf>
    <xf numFmtId="0" fontId="43" fillId="9" borderId="35" xfId="0" applyFont="1" applyFill="1" applyBorder="1" applyAlignment="1">
      <alignment horizontal="center" vertical="center"/>
    </xf>
    <xf numFmtId="172" fontId="49" fillId="9" borderId="0" xfId="0" applyNumberFormat="1" applyFont="1" applyFill="1" applyAlignment="1">
      <alignment horizontal="center" vertical="center"/>
    </xf>
    <xf numFmtId="172" fontId="49" fillId="9" borderId="35" xfId="0" applyNumberFormat="1" applyFont="1" applyFill="1" applyBorder="1" applyAlignment="1">
      <alignment horizontal="center" vertical="center"/>
    </xf>
    <xf numFmtId="0" fontId="30" fillId="15" borderId="1" xfId="0" applyFont="1" applyFill="1" applyBorder="1" applyAlignment="1">
      <alignment horizontal="center" vertical="center" wrapText="1"/>
    </xf>
    <xf numFmtId="0" fontId="30" fillId="15" borderId="16" xfId="0" applyFont="1" applyFill="1" applyBorder="1" applyAlignment="1">
      <alignment horizontal="center" vertical="center" wrapText="1"/>
    </xf>
    <xf numFmtId="0" fontId="30" fillId="15" borderId="68" xfId="0" applyFont="1" applyFill="1" applyBorder="1" applyAlignment="1">
      <alignment horizontal="center" vertical="center" wrapText="1"/>
    </xf>
    <xf numFmtId="0" fontId="30" fillId="15" borderId="3" xfId="0" applyFont="1" applyFill="1" applyBorder="1" applyAlignment="1">
      <alignment horizontal="center" vertical="center" wrapText="1"/>
    </xf>
    <xf numFmtId="172" fontId="65" fillId="0" borderId="96" xfId="0" applyNumberFormat="1" applyFont="1" applyBorder="1" applyAlignment="1">
      <alignment horizontal="center" vertical="center"/>
    </xf>
    <xf numFmtId="172" fontId="65" fillId="0" borderId="53" xfId="0" applyNumberFormat="1" applyFont="1" applyBorder="1" applyAlignment="1">
      <alignment horizontal="center" vertical="center"/>
    </xf>
    <xf numFmtId="0" fontId="32" fillId="21" borderId="87" xfId="0" applyFont="1" applyFill="1" applyBorder="1" applyAlignment="1">
      <alignment horizontal="center" vertical="center" textRotation="90"/>
    </xf>
    <xf numFmtId="0" fontId="30" fillId="15" borderId="2" xfId="0" applyFont="1" applyFill="1" applyBorder="1" applyAlignment="1">
      <alignment horizontal="left" vertical="center" indent="1"/>
    </xf>
    <xf numFmtId="0" fontId="30" fillId="15" borderId="67" xfId="0" applyFont="1" applyFill="1" applyBorder="1" applyAlignment="1">
      <alignment horizontal="left" vertical="center" indent="1"/>
    </xf>
    <xf numFmtId="0" fontId="30" fillId="15" borderId="2" xfId="0" applyFont="1" applyFill="1" applyBorder="1" applyAlignment="1">
      <alignment horizontal="center" vertical="center"/>
    </xf>
    <xf numFmtId="0" fontId="30" fillId="15" borderId="70" xfId="0" applyFont="1" applyFill="1" applyBorder="1" applyAlignment="1">
      <alignment horizontal="center" vertical="center"/>
    </xf>
    <xf numFmtId="0" fontId="43" fillId="15" borderId="2" xfId="0" applyFont="1" applyFill="1" applyBorder="1" applyAlignment="1">
      <alignment horizontal="left" vertical="center" indent="1"/>
    </xf>
    <xf numFmtId="0" fontId="43" fillId="15" borderId="0" xfId="0" applyFont="1" applyFill="1" applyAlignment="1">
      <alignment horizontal="left" vertical="center" indent="1"/>
    </xf>
    <xf numFmtId="0" fontId="43" fillId="15" borderId="67" xfId="0" applyFont="1" applyFill="1" applyBorder="1" applyAlignment="1">
      <alignment horizontal="left" vertical="center" indent="1"/>
    </xf>
    <xf numFmtId="0" fontId="43" fillId="15" borderId="69" xfId="0" applyFont="1" applyFill="1" applyBorder="1" applyAlignment="1">
      <alignment horizontal="center" vertical="center"/>
    </xf>
    <xf numFmtId="0" fontId="43" fillId="15" borderId="35" xfId="0" applyFont="1" applyFill="1" applyBorder="1" applyAlignment="1">
      <alignment horizontal="center" vertical="center"/>
    </xf>
    <xf numFmtId="0" fontId="43" fillId="15" borderId="70" xfId="0" applyFont="1" applyFill="1" applyBorder="1" applyAlignment="1">
      <alignment horizontal="center" vertical="center"/>
    </xf>
    <xf numFmtId="0" fontId="43" fillId="15" borderId="61" xfId="0" applyFont="1" applyFill="1" applyBorder="1" applyAlignment="1">
      <alignment horizontal="center" vertical="center" wrapText="1"/>
    </xf>
    <xf numFmtId="0" fontId="43" fillId="15" borderId="0" xfId="0" applyFont="1" applyFill="1" applyAlignment="1">
      <alignment horizontal="center" vertical="center" wrapText="1"/>
    </xf>
    <xf numFmtId="0" fontId="43" fillId="15" borderId="35" xfId="0" applyFont="1" applyFill="1" applyBorder="1" applyAlignment="1">
      <alignment horizontal="center" vertical="center" wrapText="1"/>
    </xf>
    <xf numFmtId="0" fontId="49" fillId="9" borderId="0" xfId="0" applyFont="1" applyFill="1" applyAlignment="1">
      <alignment horizontal="left" vertical="center" wrapText="1"/>
    </xf>
    <xf numFmtId="0" fontId="45" fillId="4" borderId="0" xfId="0" applyFont="1" applyFill="1" applyAlignment="1">
      <alignment horizontal="left" vertical="center" wrapText="1" indent="1"/>
    </xf>
    <xf numFmtId="9" fontId="32" fillId="4" borderId="15" xfId="0" applyNumberFormat="1" applyFont="1" applyFill="1" applyBorder="1" applyAlignment="1">
      <alignment horizontal="center" vertical="center"/>
    </xf>
    <xf numFmtId="49" fontId="32" fillId="4" borderId="15" xfId="0" applyNumberFormat="1" applyFont="1" applyFill="1" applyBorder="1" applyAlignment="1">
      <alignment horizontal="center" vertical="center"/>
    </xf>
    <xf numFmtId="0" fontId="30" fillId="9" borderId="155" xfId="0" applyFont="1" applyFill="1" applyBorder="1" applyAlignment="1">
      <alignment horizontal="left" vertical="center" indent="1"/>
    </xf>
    <xf numFmtId="0" fontId="30" fillId="9" borderId="156" xfId="0" applyFont="1" applyFill="1" applyBorder="1" applyAlignment="1">
      <alignment horizontal="left" vertical="center" indent="1"/>
    </xf>
    <xf numFmtId="0" fontId="32" fillId="4" borderId="10" xfId="0" applyFont="1" applyFill="1" applyBorder="1" applyAlignment="1">
      <alignment horizontal="left" vertical="center" indent="1"/>
    </xf>
    <xf numFmtId="0" fontId="30" fillId="15" borderId="152" xfId="0" applyFont="1" applyFill="1" applyBorder="1" applyAlignment="1">
      <alignment horizontal="center" vertical="center" wrapText="1"/>
    </xf>
    <xf numFmtId="0" fontId="30" fillId="15" borderId="153" xfId="0" applyFont="1" applyFill="1" applyBorder="1" applyAlignment="1">
      <alignment horizontal="center" vertical="center" wrapText="1"/>
    </xf>
    <xf numFmtId="0" fontId="30" fillId="15" borderId="154" xfId="0" applyFont="1" applyFill="1" applyBorder="1" applyAlignment="1">
      <alignment horizontal="center" vertical="center" wrapText="1"/>
    </xf>
    <xf numFmtId="0" fontId="32" fillId="21" borderId="1" xfId="0" applyFont="1" applyFill="1" applyBorder="1" applyAlignment="1">
      <alignment horizontal="center" vertical="center" textRotation="90"/>
    </xf>
    <xf numFmtId="0" fontId="45" fillId="4" borderId="0" xfId="0" applyFont="1" applyFill="1" applyAlignment="1">
      <alignment horizontal="left" vertical="center" wrapText="1"/>
    </xf>
    <xf numFmtId="0" fontId="30" fillId="9" borderId="36" xfId="0" applyFont="1" applyFill="1" applyBorder="1" applyAlignment="1">
      <alignment horizontal="left" vertical="center" indent="1"/>
    </xf>
    <xf numFmtId="0" fontId="53" fillId="4" borderId="16" xfId="0" applyFont="1" applyFill="1" applyBorder="1" applyAlignment="1">
      <alignment horizontal="left" vertical="center" wrapText="1" indent="1"/>
    </xf>
    <xf numFmtId="0" fontId="53" fillId="4" borderId="10" xfId="0" applyFont="1" applyFill="1" applyBorder="1" applyAlignment="1">
      <alignment horizontal="left" vertical="center" wrapText="1" indent="1"/>
    </xf>
    <xf numFmtId="0" fontId="53" fillId="4" borderId="20" xfId="0" applyFont="1" applyFill="1" applyBorder="1" applyAlignment="1">
      <alignment horizontal="left" vertical="center" wrapText="1" indent="1"/>
    </xf>
    <xf numFmtId="0" fontId="56" fillId="4" borderId="4" xfId="0" applyFont="1" applyFill="1" applyBorder="1" applyAlignment="1">
      <alignment horizontal="left" vertical="center" indent="1"/>
    </xf>
    <xf numFmtId="0" fontId="47" fillId="4" borderId="24" xfId="0" applyFont="1" applyFill="1" applyBorder="1" applyAlignment="1">
      <alignment horizontal="left" vertical="center" indent="1"/>
    </xf>
    <xf numFmtId="0" fontId="47" fillId="4" borderId="17" xfId="0" applyFont="1" applyFill="1" applyBorder="1" applyAlignment="1">
      <alignment horizontal="left" vertical="center" indent="1"/>
    </xf>
    <xf numFmtId="0" fontId="53" fillId="4" borderId="16" xfId="0" applyFont="1" applyFill="1" applyBorder="1" applyAlignment="1">
      <alignment horizontal="left" vertical="center" indent="1"/>
    </xf>
    <xf numFmtId="0" fontId="53" fillId="4" borderId="10" xfId="0" applyFont="1" applyFill="1" applyBorder="1" applyAlignment="1">
      <alignment horizontal="left" vertical="center" indent="1"/>
    </xf>
    <xf numFmtId="0" fontId="47" fillId="4" borderId="3" xfId="0" applyFont="1" applyFill="1" applyBorder="1" applyAlignment="1">
      <alignment horizontal="left" vertical="center" indent="1"/>
    </xf>
    <xf numFmtId="0" fontId="53" fillId="4" borderId="8" xfId="0" applyFont="1" applyFill="1" applyBorder="1" applyAlignment="1">
      <alignment horizontal="left" vertical="center" indent="1"/>
    </xf>
    <xf numFmtId="0" fontId="47" fillId="4" borderId="18" xfId="0" applyFont="1" applyFill="1" applyBorder="1" applyAlignment="1">
      <alignment horizontal="left" vertical="center" indent="1"/>
    </xf>
    <xf numFmtId="0" fontId="53" fillId="4" borderId="19" xfId="0" applyFont="1" applyFill="1" applyBorder="1" applyAlignment="1">
      <alignment horizontal="left" vertical="center" indent="1"/>
    </xf>
    <xf numFmtId="0" fontId="53" fillId="4" borderId="33" xfId="0" applyFont="1" applyFill="1" applyBorder="1" applyAlignment="1">
      <alignment horizontal="left" vertical="center" indent="1"/>
    </xf>
    <xf numFmtId="0" fontId="53" fillId="4" borderId="28" xfId="0" applyFont="1" applyFill="1" applyBorder="1" applyAlignment="1">
      <alignment horizontal="left" vertical="center" indent="1"/>
    </xf>
    <xf numFmtId="0" fontId="65" fillId="4" borderId="6" xfId="0" applyFont="1" applyFill="1" applyBorder="1" applyAlignment="1">
      <alignment horizontal="center" vertical="center"/>
    </xf>
    <xf numFmtId="0" fontId="65" fillId="4" borderId="21" xfId="0" applyFont="1" applyFill="1" applyBorder="1" applyAlignment="1">
      <alignment horizontal="center" vertical="center"/>
    </xf>
    <xf numFmtId="0" fontId="65" fillId="4" borderId="7" xfId="0" applyFont="1" applyFill="1" applyBorder="1" applyAlignment="1">
      <alignment horizontal="center" vertical="center"/>
    </xf>
    <xf numFmtId="0" fontId="32" fillId="4" borderId="22" xfId="0" applyFont="1" applyFill="1" applyBorder="1" applyAlignment="1">
      <alignment horizontal="center" vertical="center"/>
    </xf>
    <xf numFmtId="0" fontId="32" fillId="4" borderId="13" xfId="0" applyFont="1" applyFill="1" applyBorder="1" applyAlignment="1">
      <alignment horizontal="center" vertical="center"/>
    </xf>
    <xf numFmtId="0" fontId="32" fillId="4" borderId="34" xfId="0" applyFont="1" applyFill="1" applyBorder="1" applyAlignment="1">
      <alignment horizontal="center" vertical="center"/>
    </xf>
    <xf numFmtId="0" fontId="32" fillId="4" borderId="112" xfId="0" applyFont="1" applyFill="1" applyBorder="1" applyAlignment="1">
      <alignment horizontal="center" vertical="center"/>
    </xf>
    <xf numFmtId="0" fontId="32" fillId="4" borderId="3" xfId="0" applyFont="1" applyFill="1" applyBorder="1" applyAlignment="1">
      <alignment horizontal="center" vertical="center"/>
    </xf>
    <xf numFmtId="0" fontId="32" fillId="4" borderId="1" xfId="0" applyFont="1" applyFill="1" applyBorder="1" applyAlignment="1">
      <alignment horizontal="center" vertical="center"/>
    </xf>
    <xf numFmtId="0" fontId="32" fillId="4" borderId="18" xfId="0" applyFont="1" applyFill="1" applyBorder="1" applyAlignment="1">
      <alignment horizontal="center" vertical="center"/>
    </xf>
    <xf numFmtId="0" fontId="32" fillId="4" borderId="11" xfId="0" applyFont="1" applyFill="1" applyBorder="1" applyAlignment="1">
      <alignment horizontal="center" vertical="center"/>
    </xf>
    <xf numFmtId="0" fontId="32" fillId="4" borderId="19" xfId="0" applyFont="1" applyFill="1" applyBorder="1" applyAlignment="1">
      <alignment horizontal="center" vertical="center"/>
    </xf>
    <xf numFmtId="0" fontId="32" fillId="4" borderId="28" xfId="0" applyFont="1" applyFill="1" applyBorder="1" applyAlignment="1">
      <alignment horizontal="center" vertical="center"/>
    </xf>
    <xf numFmtId="0" fontId="53" fillId="4" borderId="6" xfId="0" applyFont="1" applyFill="1" applyBorder="1" applyAlignment="1">
      <alignment horizontal="left" vertical="center" indent="1"/>
    </xf>
    <xf numFmtId="0" fontId="53" fillId="4" borderId="21" xfId="0" applyFont="1" applyFill="1" applyBorder="1" applyAlignment="1">
      <alignment horizontal="left" vertical="center" indent="1"/>
    </xf>
    <xf numFmtId="0" fontId="53" fillId="4" borderId="7" xfId="0" applyFont="1" applyFill="1" applyBorder="1" applyAlignment="1">
      <alignment horizontal="left" vertical="center" indent="1"/>
    </xf>
    <xf numFmtId="0" fontId="65" fillId="4" borderId="72" xfId="0" applyFont="1" applyFill="1" applyBorder="1" applyAlignment="1">
      <alignment horizontal="center" vertical="center"/>
    </xf>
    <xf numFmtId="0" fontId="65" fillId="4" borderId="166" xfId="0" applyFont="1" applyFill="1" applyBorder="1" applyAlignment="1">
      <alignment horizontal="center" vertical="center"/>
    </xf>
    <xf numFmtId="0" fontId="65" fillId="4" borderId="73" xfId="0" applyFont="1" applyFill="1" applyBorder="1" applyAlignment="1">
      <alignment horizontal="center" vertical="center"/>
    </xf>
    <xf numFmtId="0" fontId="68" fillId="9" borderId="36" xfId="0" applyFont="1" applyFill="1" applyBorder="1" applyAlignment="1">
      <alignment horizontal="center" vertical="center" wrapText="1"/>
    </xf>
    <xf numFmtId="3" fontId="32" fillId="4" borderId="130" xfId="0" applyNumberFormat="1" applyFont="1" applyFill="1" applyBorder="1" applyAlignment="1">
      <alignment horizontal="center" vertical="center"/>
    </xf>
    <xf numFmtId="3" fontId="32" fillId="4" borderId="131" xfId="0" applyNumberFormat="1" applyFont="1" applyFill="1" applyBorder="1" applyAlignment="1">
      <alignment horizontal="center" vertical="center"/>
    </xf>
    <xf numFmtId="0" fontId="65" fillId="4" borderId="22" xfId="0" applyFont="1" applyFill="1" applyBorder="1" applyAlignment="1">
      <alignment horizontal="center" vertical="center"/>
    </xf>
    <xf numFmtId="0" fontId="65" fillId="4" borderId="31" xfId="0" applyFont="1" applyFill="1" applyBorder="1" applyAlignment="1">
      <alignment horizontal="center" vertical="center"/>
    </xf>
    <xf numFmtId="0" fontId="65" fillId="4" borderId="13" xfId="0" applyFont="1" applyFill="1" applyBorder="1" applyAlignment="1">
      <alignment horizontal="center" vertical="center"/>
    </xf>
    <xf numFmtId="0" fontId="65" fillId="4" borderId="19" xfId="0" applyFont="1" applyFill="1" applyBorder="1" applyAlignment="1">
      <alignment horizontal="center" vertical="center"/>
    </xf>
    <xf numFmtId="0" fontId="65" fillId="4" borderId="33" xfId="0" applyFont="1" applyFill="1" applyBorder="1" applyAlignment="1">
      <alignment horizontal="center" vertical="center"/>
    </xf>
    <xf numFmtId="0" fontId="65" fillId="4" borderId="28" xfId="0" applyFont="1" applyFill="1" applyBorder="1" applyAlignment="1">
      <alignment horizontal="center" vertical="center"/>
    </xf>
    <xf numFmtId="0" fontId="30" fillId="15" borderId="0" xfId="0" applyFont="1" applyFill="1" applyAlignment="1">
      <alignment horizontal="center" vertical="center" wrapText="1"/>
    </xf>
    <xf numFmtId="0" fontId="30" fillId="15" borderId="35" xfId="0" applyFont="1" applyFill="1" applyBorder="1" applyAlignment="1">
      <alignment horizontal="center" vertical="center" wrapText="1"/>
    </xf>
    <xf numFmtId="0" fontId="68" fillId="9" borderId="0" xfId="0" applyFont="1" applyFill="1" applyAlignment="1">
      <alignment horizontal="left" vertical="center" wrapText="1" indent="1"/>
    </xf>
    <xf numFmtId="0" fontId="68" fillId="9" borderId="36" xfId="0" applyFont="1" applyFill="1" applyBorder="1" applyAlignment="1">
      <alignment horizontal="left" vertical="center" wrapText="1" indent="1"/>
    </xf>
    <xf numFmtId="0" fontId="53" fillId="4" borderId="89" xfId="0" applyFont="1" applyFill="1" applyBorder="1" applyAlignment="1">
      <alignment horizontal="left" vertical="center" indent="1"/>
    </xf>
    <xf numFmtId="0" fontId="53" fillId="4" borderId="20" xfId="0" applyFont="1" applyFill="1" applyBorder="1" applyAlignment="1">
      <alignment horizontal="left" vertical="center" indent="1"/>
    </xf>
    <xf numFmtId="0" fontId="68" fillId="9" borderId="36" xfId="0" applyFont="1" applyFill="1" applyBorder="1" applyAlignment="1">
      <alignment horizontal="center"/>
    </xf>
    <xf numFmtId="0" fontId="53" fillId="4" borderId="130" xfId="0" applyFont="1" applyFill="1" applyBorder="1" applyAlignment="1">
      <alignment horizontal="left" vertical="center" indent="1"/>
    </xf>
    <xf numFmtId="0" fontId="53" fillId="4" borderId="159" xfId="0" applyFont="1" applyFill="1" applyBorder="1" applyAlignment="1">
      <alignment horizontal="left" vertical="center" indent="1"/>
    </xf>
    <xf numFmtId="0" fontId="53" fillId="4" borderId="131" xfId="0" applyFont="1" applyFill="1" applyBorder="1" applyAlignment="1">
      <alignment horizontal="left" vertical="center" indent="1"/>
    </xf>
    <xf numFmtId="3" fontId="32" fillId="4" borderId="6" xfId="0" applyNumberFormat="1" applyFont="1" applyFill="1" applyBorder="1" applyAlignment="1">
      <alignment horizontal="center" vertical="center"/>
    </xf>
    <xf numFmtId="3" fontId="32" fillId="4" borderId="7" xfId="0" applyNumberFormat="1" applyFont="1" applyFill="1" applyBorder="1" applyAlignment="1">
      <alignment horizontal="center" vertical="center"/>
    </xf>
    <xf numFmtId="0" fontId="30" fillId="15" borderId="165" xfId="0" applyFont="1" applyFill="1" applyBorder="1" applyAlignment="1">
      <alignment horizontal="center" vertical="center"/>
    </xf>
    <xf numFmtId="0" fontId="53" fillId="4" borderId="34" xfId="0" applyFont="1" applyFill="1" applyBorder="1" applyAlignment="1">
      <alignment horizontal="left" vertical="center" indent="1"/>
    </xf>
    <xf numFmtId="0" fontId="53" fillId="4" borderId="26" xfId="0" applyFont="1" applyFill="1" applyBorder="1" applyAlignment="1">
      <alignment horizontal="left" vertical="center" indent="1"/>
    </xf>
    <xf numFmtId="0" fontId="53" fillId="4" borderId="112" xfId="0" applyFont="1" applyFill="1" applyBorder="1" applyAlignment="1">
      <alignment horizontal="left" vertical="center" indent="1"/>
    </xf>
    <xf numFmtId="0" fontId="65" fillId="4" borderId="130" xfId="0" applyFont="1" applyFill="1" applyBorder="1" applyAlignment="1">
      <alignment horizontal="center" vertical="center"/>
    </xf>
    <xf numFmtId="0" fontId="65" fillId="4" borderId="159" xfId="0" applyFont="1" applyFill="1" applyBorder="1" applyAlignment="1">
      <alignment horizontal="center" vertical="center"/>
    </xf>
    <xf numFmtId="0" fontId="65" fillId="4" borderId="131" xfId="0" applyFont="1" applyFill="1" applyBorder="1" applyAlignment="1">
      <alignment horizontal="center" vertical="center"/>
    </xf>
    <xf numFmtId="6" fontId="30" fillId="9" borderId="0" xfId="0" applyNumberFormat="1" applyFont="1" applyFill="1" applyAlignment="1">
      <alignment horizontal="center" vertical="center"/>
    </xf>
    <xf numFmtId="6" fontId="30" fillId="9" borderId="35" xfId="0" applyNumberFormat="1" applyFont="1" applyFill="1" applyBorder="1" applyAlignment="1">
      <alignment horizontal="center" vertical="center"/>
    </xf>
    <xf numFmtId="0" fontId="30" fillId="9" borderId="61" xfId="0" applyFont="1" applyFill="1" applyBorder="1" applyAlignment="1">
      <alignment horizontal="left" vertical="center" indent="1"/>
    </xf>
    <xf numFmtId="0" fontId="30" fillId="9" borderId="49" xfId="0" applyFont="1" applyFill="1" applyBorder="1" applyAlignment="1">
      <alignment horizontal="left" vertical="center" indent="1"/>
    </xf>
    <xf numFmtId="0" fontId="30" fillId="9" borderId="45" xfId="0" applyFont="1" applyFill="1" applyBorder="1" applyAlignment="1">
      <alignment horizontal="center" vertical="center"/>
    </xf>
    <xf numFmtId="0" fontId="32" fillId="21" borderId="74" xfId="0" applyFont="1" applyFill="1" applyBorder="1" applyAlignment="1">
      <alignment horizontal="center" vertical="center" textRotation="90"/>
    </xf>
    <xf numFmtId="170" fontId="65" fillId="4" borderId="17" xfId="0" applyNumberFormat="1" applyFont="1" applyFill="1" applyBorder="1" applyAlignment="1">
      <alignment horizontal="center" vertical="center"/>
    </xf>
    <xf numFmtId="170" fontId="65" fillId="4" borderId="12" xfId="0" applyNumberFormat="1" applyFont="1" applyFill="1" applyBorder="1" applyAlignment="1">
      <alignment horizontal="center" vertical="center"/>
    </xf>
    <xf numFmtId="170" fontId="65" fillId="4" borderId="22" xfId="0" applyNumberFormat="1" applyFont="1" applyFill="1" applyBorder="1" applyAlignment="1">
      <alignment horizontal="center" vertical="center"/>
    </xf>
    <xf numFmtId="170" fontId="65" fillId="4" borderId="13" xfId="0" applyNumberFormat="1" applyFont="1" applyFill="1" applyBorder="1" applyAlignment="1">
      <alignment horizontal="center" vertical="center"/>
    </xf>
    <xf numFmtId="170" fontId="65" fillId="4" borderId="3" xfId="0" applyNumberFormat="1" applyFont="1" applyFill="1" applyBorder="1" applyAlignment="1">
      <alignment horizontal="center" vertical="center"/>
    </xf>
    <xf numFmtId="170" fontId="65" fillId="4" borderId="0" xfId="0" applyNumberFormat="1" applyFont="1" applyFill="1" applyAlignment="1">
      <alignment horizontal="center" vertical="center"/>
    </xf>
    <xf numFmtId="170" fontId="65" fillId="4" borderId="29" xfId="0" applyNumberFormat="1" applyFont="1" applyFill="1" applyBorder="1" applyAlignment="1">
      <alignment horizontal="center" vertical="center"/>
    </xf>
    <xf numFmtId="170" fontId="65" fillId="4" borderId="31" xfId="0" applyNumberFormat="1" applyFont="1" applyFill="1" applyBorder="1" applyAlignment="1">
      <alignment horizontal="center" vertical="center"/>
    </xf>
    <xf numFmtId="0" fontId="56" fillId="4" borderId="18" xfId="0" applyFont="1" applyFill="1" applyBorder="1" applyAlignment="1">
      <alignment horizontal="left" vertical="center" wrapText="1" indent="1"/>
    </xf>
    <xf numFmtId="0" fontId="56" fillId="4" borderId="2" xfId="0" applyFont="1" applyFill="1" applyBorder="1" applyAlignment="1">
      <alignment horizontal="left" vertical="center" wrapText="1" indent="1"/>
    </xf>
    <xf numFmtId="0" fontId="56" fillId="4" borderId="11" xfId="0" applyFont="1" applyFill="1" applyBorder="1" applyAlignment="1">
      <alignment horizontal="left" vertical="center" wrapText="1" indent="1"/>
    </xf>
    <xf numFmtId="0" fontId="21" fillId="4" borderId="6" xfId="0" applyFont="1" applyFill="1" applyBorder="1" applyAlignment="1">
      <alignment horizontal="left" vertical="center" indent="1"/>
    </xf>
    <xf numFmtId="0" fontId="21" fillId="4" borderId="7" xfId="0" applyFont="1" applyFill="1" applyBorder="1" applyAlignment="1">
      <alignment horizontal="left" vertical="center" indent="1"/>
    </xf>
    <xf numFmtId="0" fontId="21" fillId="4" borderId="22" xfId="0" applyFont="1" applyFill="1" applyBorder="1" applyAlignment="1">
      <alignment horizontal="left" vertical="center" indent="1"/>
    </xf>
    <xf numFmtId="0" fontId="21" fillId="4" borderId="13" xfId="0" applyFont="1" applyFill="1" applyBorder="1" applyAlignment="1">
      <alignment horizontal="left" vertical="center" indent="1"/>
    </xf>
    <xf numFmtId="171" fontId="65" fillId="4" borderId="3" xfId="0" applyNumberFormat="1" applyFont="1" applyFill="1" applyBorder="1" applyAlignment="1">
      <alignment horizontal="center" vertical="center"/>
    </xf>
    <xf numFmtId="171" fontId="65" fillId="4" borderId="1" xfId="0" applyNumberFormat="1" applyFont="1" applyFill="1" applyBorder="1" applyAlignment="1">
      <alignment horizontal="center" vertical="center"/>
    </xf>
    <xf numFmtId="171" fontId="65" fillId="4" borderId="17" xfId="0" applyNumberFormat="1" applyFont="1" applyFill="1" applyBorder="1" applyAlignment="1">
      <alignment horizontal="center" vertical="center"/>
    </xf>
    <xf numFmtId="171" fontId="65" fillId="4" borderId="12" xfId="0" applyNumberFormat="1" applyFont="1" applyFill="1" applyBorder="1" applyAlignment="1">
      <alignment horizontal="center" vertical="center"/>
    </xf>
    <xf numFmtId="171" fontId="65" fillId="4" borderId="22" xfId="0" applyNumberFormat="1" applyFont="1" applyFill="1" applyBorder="1" applyAlignment="1">
      <alignment horizontal="center" vertical="center"/>
    </xf>
    <xf numFmtId="171" fontId="65" fillId="4" borderId="13" xfId="0" applyNumberFormat="1" applyFont="1" applyFill="1" applyBorder="1" applyAlignment="1">
      <alignment horizontal="center" vertical="center"/>
    </xf>
    <xf numFmtId="0" fontId="21" fillId="4" borderId="17" xfId="0" applyFont="1" applyFill="1" applyBorder="1" applyAlignment="1">
      <alignment horizontal="left" vertical="center" indent="1"/>
    </xf>
    <xf numFmtId="0" fontId="21" fillId="4" borderId="12" xfId="0" applyFont="1" applyFill="1" applyBorder="1" applyAlignment="1">
      <alignment horizontal="left" vertical="center" indent="1"/>
    </xf>
    <xf numFmtId="0" fontId="18" fillId="4" borderId="30" xfId="0" applyFont="1" applyFill="1" applyBorder="1" applyAlignment="1">
      <alignment horizontal="left" vertical="center" wrapText="1" indent="1"/>
    </xf>
    <xf numFmtId="0" fontId="18" fillId="4" borderId="23" xfId="0" applyFont="1" applyFill="1" applyBorder="1" applyAlignment="1">
      <alignment horizontal="left" vertical="center" wrapText="1" indent="1"/>
    </xf>
    <xf numFmtId="0" fontId="32" fillId="4" borderId="6" xfId="0" applyFont="1" applyFill="1" applyBorder="1" applyAlignment="1">
      <alignment horizontal="left" vertical="center" indent="1"/>
    </xf>
    <xf numFmtId="0" fontId="32" fillId="4" borderId="7" xfId="0" applyFont="1" applyFill="1" applyBorder="1" applyAlignment="1">
      <alignment horizontal="left" vertical="center" indent="1"/>
    </xf>
    <xf numFmtId="0" fontId="18" fillId="0" borderId="72" xfId="0" applyFont="1" applyBorder="1" applyAlignment="1">
      <alignment horizontal="left" vertical="center" indent="1"/>
    </xf>
    <xf numFmtId="0" fontId="18" fillId="0" borderId="73" xfId="0" applyFont="1" applyBorder="1" applyAlignment="1">
      <alignment horizontal="left" vertical="center" indent="1"/>
    </xf>
    <xf numFmtId="0" fontId="18" fillId="0" borderId="30" xfId="0" applyFont="1" applyBorder="1" applyAlignment="1">
      <alignment horizontal="left" vertical="center" wrapText="1" indent="1"/>
    </xf>
    <xf numFmtId="0" fontId="18" fillId="0" borderId="23" xfId="0" applyFont="1" applyBorder="1" applyAlignment="1">
      <alignment horizontal="left" vertical="center" wrapText="1" indent="1"/>
    </xf>
    <xf numFmtId="0" fontId="31" fillId="9" borderId="0" xfId="0" applyFont="1" applyFill="1" applyAlignment="1">
      <alignment horizontal="center" vertical="center"/>
    </xf>
    <xf numFmtId="0" fontId="31" fillId="9" borderId="35" xfId="0" applyFont="1" applyFill="1" applyBorder="1" applyAlignment="1">
      <alignment horizontal="center" vertical="center"/>
    </xf>
    <xf numFmtId="0" fontId="30" fillId="9" borderId="51" xfId="0" applyFont="1" applyFill="1" applyBorder="1" applyAlignment="1">
      <alignment horizontal="left" vertical="center" indent="1"/>
    </xf>
    <xf numFmtId="0" fontId="32" fillId="4" borderId="8" xfId="0" applyFont="1" applyFill="1" applyBorder="1" applyAlignment="1">
      <alignment horizontal="left" vertical="center" indent="1"/>
    </xf>
    <xf numFmtId="0" fontId="32" fillId="4" borderId="9" xfId="0" applyFont="1" applyFill="1" applyBorder="1" applyAlignment="1">
      <alignment horizontal="left" vertical="center" indent="1"/>
    </xf>
    <xf numFmtId="0" fontId="32" fillId="4" borderId="4" xfId="0" applyFont="1" applyFill="1" applyBorder="1" applyAlignment="1">
      <alignment horizontal="left" vertical="center" indent="1"/>
    </xf>
    <xf numFmtId="0" fontId="32" fillId="4" borderId="16" xfId="0" applyFont="1" applyFill="1" applyBorder="1" applyAlignment="1">
      <alignment horizontal="left" vertical="center" indent="1"/>
    </xf>
    <xf numFmtId="0" fontId="2" fillId="4" borderId="0" xfId="0" applyFont="1" applyFill="1" applyAlignment="1">
      <alignment horizontal="left" vertical="center" wrapText="1"/>
    </xf>
    <xf numFmtId="0" fontId="18" fillId="3" borderId="0" xfId="0" applyFont="1" applyFill="1" applyAlignment="1">
      <alignment horizontal="left" vertical="center" wrapText="1"/>
    </xf>
    <xf numFmtId="0" fontId="32" fillId="4" borderId="0" xfId="0" applyFont="1" applyFill="1"/>
    <xf numFmtId="0" fontId="31" fillId="9" borderId="36" xfId="0" applyFont="1" applyFill="1" applyBorder="1" applyAlignment="1">
      <alignment horizontal="center" vertical="center" wrapText="1"/>
    </xf>
    <xf numFmtId="0" fontId="31" fillId="9" borderId="45" xfId="0" applyFont="1" applyFill="1" applyBorder="1" applyAlignment="1">
      <alignment horizontal="center" vertical="center" wrapText="1"/>
    </xf>
    <xf numFmtId="0" fontId="32" fillId="4" borderId="22" xfId="0" applyFont="1" applyFill="1" applyBorder="1" applyAlignment="1">
      <alignment horizontal="left" vertical="center" indent="1"/>
    </xf>
    <xf numFmtId="0" fontId="32" fillId="4" borderId="13" xfId="0" applyFont="1" applyFill="1" applyBorder="1" applyAlignment="1">
      <alignment horizontal="left" vertical="center" indent="1"/>
    </xf>
    <xf numFmtId="49" fontId="18" fillId="0" borderId="89" xfId="0" applyNumberFormat="1" applyFont="1" applyBorder="1" applyAlignment="1">
      <alignment horizontal="center" vertical="center"/>
    </xf>
    <xf numFmtId="49" fontId="18" fillId="0" borderId="16" xfId="0" applyNumberFormat="1" applyFont="1" applyBorder="1" applyAlignment="1">
      <alignment horizontal="center" vertical="center"/>
    </xf>
    <xf numFmtId="49" fontId="18" fillId="0" borderId="10" xfId="0" applyNumberFormat="1" applyFont="1" applyBorder="1" applyAlignment="1">
      <alignment horizontal="center" vertical="center"/>
    </xf>
    <xf numFmtId="0" fontId="18" fillId="0" borderId="30" xfId="0" applyFont="1" applyBorder="1" applyAlignment="1">
      <alignment horizontal="left" vertical="center" indent="1"/>
    </xf>
    <xf numFmtId="0" fontId="18" fillId="0" borderId="23" xfId="0" applyFont="1" applyBorder="1" applyAlignment="1">
      <alignment horizontal="left" vertical="center" indent="1"/>
    </xf>
    <xf numFmtId="0" fontId="18" fillId="0" borderId="72" xfId="0" applyFont="1" applyBorder="1" applyAlignment="1">
      <alignment horizontal="left" vertical="center" wrapText="1" indent="1"/>
    </xf>
    <xf numFmtId="0" fontId="18" fillId="0" borderId="73" xfId="0" applyFont="1" applyBorder="1" applyAlignment="1">
      <alignment horizontal="left" vertical="center" wrapText="1" indent="1"/>
    </xf>
    <xf numFmtId="0" fontId="3" fillId="4" borderId="0" xfId="0" applyFont="1" applyFill="1" applyAlignment="1">
      <alignment horizontal="left" vertical="center" wrapText="1"/>
    </xf>
    <xf numFmtId="0" fontId="27" fillId="3" borderId="0" xfId="0" applyFont="1" applyFill="1" applyAlignment="1">
      <alignment horizontal="center" vertical="center"/>
    </xf>
    <xf numFmtId="0" fontId="24" fillId="0" borderId="0" xfId="5" applyAlignment="1">
      <alignment horizontal="left" vertical="center"/>
    </xf>
    <xf numFmtId="0" fontId="0" fillId="0" borderId="0" xfId="0" applyAlignment="1">
      <alignment horizontal="left" vertical="center"/>
    </xf>
    <xf numFmtId="0" fontId="4" fillId="4" borderId="0" xfId="0" applyFont="1" applyFill="1" applyAlignment="1">
      <alignment horizontal="right" wrapText="1"/>
    </xf>
    <xf numFmtId="0" fontId="24" fillId="4" borderId="0" xfId="5" applyFill="1" applyAlignment="1" applyProtection="1">
      <alignment horizontal="left"/>
    </xf>
    <xf numFmtId="0" fontId="0" fillId="4" borderId="0" xfId="0" applyFill="1" applyAlignment="1">
      <alignment horizontal="left"/>
    </xf>
    <xf numFmtId="0" fontId="8" fillId="3" borderId="0" xfId="0" applyFont="1" applyFill="1" applyAlignment="1">
      <alignment horizontal="center" vertical="center" wrapText="1"/>
    </xf>
    <xf numFmtId="0" fontId="24" fillId="4" borderId="0" xfId="5" applyFill="1" applyAlignment="1" applyProtection="1">
      <alignment horizontal="left" vertical="top" wrapText="1"/>
    </xf>
    <xf numFmtId="0" fontId="8" fillId="4" borderId="0" xfId="0" applyFont="1" applyFill="1" applyAlignment="1">
      <alignment horizontal="left" vertical="top" wrapText="1"/>
    </xf>
    <xf numFmtId="0" fontId="53" fillId="4" borderId="4" xfId="0" applyFont="1" applyFill="1" applyBorder="1" applyAlignment="1">
      <alignment horizontal="left" vertical="center" indent="1"/>
    </xf>
    <xf numFmtId="0" fontId="30" fillId="9" borderId="0" xfId="0" applyFont="1" applyFill="1" applyBorder="1" applyAlignment="1">
      <alignment horizontal="center" vertical="center" wrapText="1"/>
    </xf>
    <xf numFmtId="0" fontId="30" fillId="9" borderId="0" xfId="0" applyFont="1" applyFill="1" applyBorder="1" applyAlignment="1">
      <alignment horizontal="center" vertical="center" wrapText="1"/>
    </xf>
    <xf numFmtId="0" fontId="30" fillId="9" borderId="177" xfId="0" applyFont="1" applyFill="1" applyBorder="1" applyAlignment="1">
      <alignment horizontal="center" vertical="center" wrapText="1"/>
    </xf>
    <xf numFmtId="0" fontId="30" fillId="9" borderId="177" xfId="0" applyFont="1" applyFill="1" applyBorder="1" applyAlignment="1">
      <alignment horizontal="center" vertical="center"/>
    </xf>
    <xf numFmtId="0" fontId="18" fillId="0" borderId="8" xfId="0" applyFont="1" applyBorder="1" applyAlignment="1">
      <alignment horizontal="left" vertical="center" indent="1"/>
    </xf>
    <xf numFmtId="0" fontId="30" fillId="9" borderId="177" xfId="0" applyFont="1" applyFill="1" applyBorder="1" applyAlignment="1">
      <alignment horizontal="left" vertical="center" indent="1"/>
    </xf>
    <xf numFmtId="0" fontId="89" fillId="9" borderId="177" xfId="0" applyFont="1" applyFill="1" applyBorder="1" applyAlignment="1">
      <alignment horizontal="center" vertical="center" wrapText="1"/>
    </xf>
    <xf numFmtId="170" fontId="65" fillId="4" borderId="130" xfId="0" applyNumberFormat="1" applyFont="1" applyFill="1" applyBorder="1" applyAlignment="1">
      <alignment horizontal="center" vertical="center"/>
    </xf>
    <xf numFmtId="170" fontId="65" fillId="4" borderId="131" xfId="0" applyNumberFormat="1" applyFont="1" applyFill="1" applyBorder="1" applyAlignment="1">
      <alignment horizontal="center" vertical="center"/>
    </xf>
    <xf numFmtId="170" fontId="65" fillId="4" borderId="30" xfId="0" applyNumberFormat="1" applyFont="1" applyFill="1" applyBorder="1" applyAlignment="1">
      <alignment horizontal="center" vertical="center"/>
    </xf>
    <xf numFmtId="170" fontId="65" fillId="4" borderId="23" xfId="0" applyNumberFormat="1" applyFont="1" applyFill="1" applyBorder="1" applyAlignment="1">
      <alignment horizontal="center" vertical="center"/>
    </xf>
    <xf numFmtId="170" fontId="65" fillId="4" borderId="19" xfId="0" applyNumberFormat="1" applyFont="1" applyFill="1" applyBorder="1" applyAlignment="1">
      <alignment horizontal="center" vertical="center"/>
    </xf>
    <xf numFmtId="170" fontId="65" fillId="4" borderId="28" xfId="0" applyNumberFormat="1" applyFont="1" applyFill="1" applyBorder="1" applyAlignment="1">
      <alignment horizontal="center" vertical="center"/>
    </xf>
    <xf numFmtId="170" fontId="65" fillId="4" borderId="6" xfId="0" applyNumberFormat="1" applyFont="1" applyFill="1" applyBorder="1" applyAlignment="1">
      <alignment horizontal="center" vertical="center"/>
    </xf>
    <xf numFmtId="170" fontId="65" fillId="4" borderId="7" xfId="0" applyNumberFormat="1" applyFont="1" applyFill="1" applyBorder="1" applyAlignment="1">
      <alignment horizontal="center" vertical="center"/>
    </xf>
  </cellXfs>
  <cellStyles count="38">
    <cellStyle name="Dziesiętny" xfId="1" builtinId="3"/>
    <cellStyle name="Dziesiętny 2" xfId="2" xr:uid="{00000000-0005-0000-0000-000001000000}"/>
    <cellStyle name="Dziesiętny 2 2" xfId="3" xr:uid="{00000000-0005-0000-0000-000002000000}"/>
    <cellStyle name="Dziesiętny 3" xfId="4" xr:uid="{00000000-0005-0000-0000-000003000000}"/>
    <cellStyle name="Hiperłącze" xfId="5" builtinId="8"/>
    <cellStyle name="Hiperłącze 2" xfId="6" xr:uid="{00000000-0005-0000-0000-000005000000}"/>
    <cellStyle name="Normalny" xfId="0" builtinId="0"/>
    <cellStyle name="Normalny 10" xfId="7" xr:uid="{00000000-0005-0000-0000-000007000000}"/>
    <cellStyle name="Normalny 10 2" xfId="8" xr:uid="{00000000-0005-0000-0000-000008000000}"/>
    <cellStyle name="Normalny 11" xfId="9" xr:uid="{00000000-0005-0000-0000-000009000000}"/>
    <cellStyle name="Normalny 12" xfId="10" xr:uid="{00000000-0005-0000-0000-00000A000000}"/>
    <cellStyle name="Normalny 13" xfId="11" xr:uid="{00000000-0005-0000-0000-00000B000000}"/>
    <cellStyle name="Normalny 2" xfId="12" xr:uid="{00000000-0005-0000-0000-00000C000000}"/>
    <cellStyle name="Normalny 3" xfId="13" xr:uid="{00000000-0005-0000-0000-00000D000000}"/>
    <cellStyle name="Normalny 3 2" xfId="14" xr:uid="{00000000-0005-0000-0000-00000E000000}"/>
    <cellStyle name="Normalny 4" xfId="15" xr:uid="{00000000-0005-0000-0000-00000F000000}"/>
    <cellStyle name="Normalny 4 2" xfId="16" xr:uid="{00000000-0005-0000-0000-000010000000}"/>
    <cellStyle name="Normalny 5" xfId="17" xr:uid="{00000000-0005-0000-0000-000011000000}"/>
    <cellStyle name="Normalny 5 2" xfId="18" xr:uid="{00000000-0005-0000-0000-000012000000}"/>
    <cellStyle name="Normalny 5 2 2" xfId="19" xr:uid="{00000000-0005-0000-0000-000013000000}"/>
    <cellStyle name="Normalny 5 3" xfId="20" xr:uid="{00000000-0005-0000-0000-000014000000}"/>
    <cellStyle name="Normalny 6" xfId="21" xr:uid="{00000000-0005-0000-0000-000015000000}"/>
    <cellStyle name="Normalny 6 2" xfId="22" xr:uid="{00000000-0005-0000-0000-000016000000}"/>
    <cellStyle name="Normalny 7" xfId="23" xr:uid="{00000000-0005-0000-0000-000017000000}"/>
    <cellStyle name="Normalny 7 2" xfId="24" xr:uid="{00000000-0005-0000-0000-000018000000}"/>
    <cellStyle name="Normalny 7 2 2" xfId="25" xr:uid="{00000000-0005-0000-0000-000019000000}"/>
    <cellStyle name="Normalny 7 3" xfId="26" xr:uid="{00000000-0005-0000-0000-00001A000000}"/>
    <cellStyle name="Normalny 8" xfId="27" xr:uid="{00000000-0005-0000-0000-00001B000000}"/>
    <cellStyle name="Normalny 8 2" xfId="28" xr:uid="{00000000-0005-0000-0000-00001C000000}"/>
    <cellStyle name="Normalny 9" xfId="29" xr:uid="{00000000-0005-0000-0000-00001D000000}"/>
    <cellStyle name="Normalny 9 2" xfId="30" xr:uid="{00000000-0005-0000-0000-00001E000000}"/>
    <cellStyle name="Procentowy" xfId="31" builtinId="5"/>
    <cellStyle name="Procentowy 2" xfId="32" xr:uid="{00000000-0005-0000-0000-000020000000}"/>
    <cellStyle name="Procentowy 2 2" xfId="33" xr:uid="{00000000-0005-0000-0000-000021000000}"/>
    <cellStyle name="Procentowy 3" xfId="34" xr:uid="{00000000-0005-0000-0000-000022000000}"/>
    <cellStyle name="Walutowy 2" xfId="35" xr:uid="{00000000-0005-0000-0000-000023000000}"/>
    <cellStyle name="Walutowy 2 2" xfId="36" xr:uid="{00000000-0005-0000-0000-000024000000}"/>
    <cellStyle name="Walutowy 3" xfId="37" xr:uid="{00000000-0005-0000-0000-000025000000}"/>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5828"/>
      <color rgb="FF006C31"/>
      <color rgb="FFFFFF66"/>
      <color rgb="FFFF99FF"/>
      <color rgb="FF635AD8"/>
      <color rgb="FF9A57CD"/>
      <color rgb="FFB00000"/>
      <color rgb="FF3C31CD"/>
      <color rgb="FF2A25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Lines="2" dropStyle="combo" dx="19" fmlaLink="$A$30" fmlaRange="$Z$7:$Z$8" sel="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4.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4.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7.jpeg"/><Relationship Id="rId4" Type="http://schemas.openxmlformats.org/officeDocument/2006/relationships/image" Target="../media/image18.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9.png"/><Relationship Id="rId7" Type="http://schemas.openxmlformats.org/officeDocument/2006/relationships/image" Target="../media/image11.png"/><Relationship Id="rId2" Type="http://schemas.openxmlformats.org/officeDocument/2006/relationships/image" Target="../media/image8.png"/><Relationship Id="rId1" Type="http://schemas.openxmlformats.org/officeDocument/2006/relationships/image" Target="../media/image7.png"/><Relationship Id="rId6" Type="http://schemas.openxmlformats.org/officeDocument/2006/relationships/image" Target="../media/image4.png"/><Relationship Id="rId11" Type="http://schemas.openxmlformats.org/officeDocument/2006/relationships/image" Target="../media/image13.png"/><Relationship Id="rId5" Type="http://schemas.openxmlformats.org/officeDocument/2006/relationships/image" Target="../media/image10.png"/><Relationship Id="rId10" Type="http://schemas.openxmlformats.org/officeDocument/2006/relationships/image" Target="../media/image6.png"/><Relationship Id="rId4" Type="http://schemas.openxmlformats.org/officeDocument/2006/relationships/image" Target="../media/image3.png"/><Relationship Id="rId9" Type="http://schemas.openxmlformats.org/officeDocument/2006/relationships/image" Target="../media/image12.png"/></Relationships>
</file>

<file path=xl/drawings/_rels/drawing4.xml.rels><?xml version="1.0" encoding="UTF-8" standalone="yes"?>
<Relationships xmlns="http://schemas.openxmlformats.org/package/2006/relationships"><Relationship Id="rId8" Type="http://schemas.openxmlformats.org/officeDocument/2006/relationships/image" Target="../media/image16.png"/><Relationship Id="rId3" Type="http://schemas.openxmlformats.org/officeDocument/2006/relationships/image" Target="../media/image14.png"/><Relationship Id="rId7"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15.png"/><Relationship Id="rId5" Type="http://schemas.openxmlformats.org/officeDocument/2006/relationships/image" Target="../media/image9.png"/><Relationship Id="rId10" Type="http://schemas.openxmlformats.org/officeDocument/2006/relationships/image" Target="../media/image6.png"/><Relationship Id="rId4" Type="http://schemas.openxmlformats.org/officeDocument/2006/relationships/image" Target="../media/image7.png"/><Relationship Id="rId9"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3.png"/><Relationship Id="rId1" Type="http://schemas.openxmlformats.org/officeDocument/2006/relationships/image" Target="../media/image4.png"/><Relationship Id="rId6" Type="http://schemas.openxmlformats.org/officeDocument/2006/relationships/image" Target="../media/image6.png"/><Relationship Id="rId5" Type="http://schemas.openxmlformats.org/officeDocument/2006/relationships/image" Target="../media/image14.png"/><Relationship Id="rId4"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7</xdr:row>
      <xdr:rowOff>9525</xdr:rowOff>
    </xdr:from>
    <xdr:to>
      <xdr:col>3</xdr:col>
      <xdr:colOff>2019300</xdr:colOff>
      <xdr:row>7</xdr:row>
      <xdr:rowOff>295275</xdr:rowOff>
    </xdr:to>
    <xdr:sp macro="" textlink="">
      <xdr:nvSpPr>
        <xdr:cNvPr id="1039372" name="Drop Down 12" hidden="1">
          <a:extLst>
            <a:ext uri="{63B3BB69-23CF-44E3-9099-C40C66FF867C}">
              <a14:compatExt xmlns:a14="http://schemas.microsoft.com/office/drawing/2010/main" spid="_x0000_s1039372"/>
            </a:ext>
            <a:ext uri="{FF2B5EF4-FFF2-40B4-BE49-F238E27FC236}">
              <a16:creationId xmlns:a16="http://schemas.microsoft.com/office/drawing/2014/main" id="{00000000-0008-0000-0000-00000CDC0F00}"/>
            </a:ext>
          </a:extLst>
        </xdr:cNvPr>
        <xdr:cNvSpPr/>
      </xdr:nvSpPr>
      <xdr:spPr>
        <a:xfrm>
          <a:off x="0" y="0"/>
          <a:ext cx="0" cy="0"/>
        </a:xfrm>
        <a:prstGeom prst="rect">
          <a:avLst/>
        </a:prstGeom>
      </xdr:spPr>
    </xdr:sp>
    <xdr:clientData/>
  </xdr:twoCellAnchor>
  <xdr:twoCellAnchor editAs="oneCell">
    <xdr:from>
      <xdr:col>1</xdr:col>
      <xdr:colOff>0</xdr:colOff>
      <xdr:row>7</xdr:row>
      <xdr:rowOff>66675</xdr:rowOff>
    </xdr:from>
    <xdr:to>
      <xdr:col>1</xdr:col>
      <xdr:colOff>266700</xdr:colOff>
      <xdr:row>7</xdr:row>
      <xdr:rowOff>228600</xdr:rowOff>
    </xdr:to>
    <xdr:pic>
      <xdr:nvPicPr>
        <xdr:cNvPr id="1078209" name="Obraz 7" descr="Znalezione obrazy dla zapytania flaga pl wikipedia">
          <a:extLst>
            <a:ext uri="{FF2B5EF4-FFF2-40B4-BE49-F238E27FC236}">
              <a16:creationId xmlns:a16="http://schemas.microsoft.com/office/drawing/2014/main" id="{00000000-0008-0000-0000-0000C173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1495425"/>
          <a:ext cx="2667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285750</xdr:colOff>
      <xdr:row>7</xdr:row>
      <xdr:rowOff>76200</xdr:rowOff>
    </xdr:from>
    <xdr:to>
      <xdr:col>2</xdr:col>
      <xdr:colOff>0</xdr:colOff>
      <xdr:row>7</xdr:row>
      <xdr:rowOff>238125</xdr:rowOff>
    </xdr:to>
    <xdr:pic>
      <xdr:nvPicPr>
        <xdr:cNvPr id="1078210" name="Obraz 8">
          <a:extLst>
            <a:ext uri="{FF2B5EF4-FFF2-40B4-BE49-F238E27FC236}">
              <a16:creationId xmlns:a16="http://schemas.microsoft.com/office/drawing/2014/main" id="{00000000-0008-0000-0000-0000C2731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7225" y="15049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444212</xdr:colOff>
      <xdr:row>5</xdr:row>
      <xdr:rowOff>58486</xdr:rowOff>
    </xdr:to>
    <xdr:pic>
      <xdr:nvPicPr>
        <xdr:cNvPr id="7" name="Picture 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7</xdr:row>
          <xdr:rowOff>9525</xdr:rowOff>
        </xdr:from>
        <xdr:to>
          <xdr:col>3</xdr:col>
          <xdr:colOff>2038350</xdr:colOff>
          <xdr:row>7</xdr:row>
          <xdr:rowOff>295275</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xdr:col>
      <xdr:colOff>152400</xdr:colOff>
      <xdr:row>1</xdr:row>
      <xdr:rowOff>31295</xdr:rowOff>
    </xdr:from>
    <xdr:to>
      <xdr:col>2</xdr:col>
      <xdr:colOff>1143000</xdr:colOff>
      <xdr:row>2</xdr:row>
      <xdr:rowOff>152399</xdr:rowOff>
    </xdr:to>
    <xdr:pic>
      <xdr:nvPicPr>
        <xdr:cNvPr id="6" name="Obraz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14425" y="193220"/>
          <a:ext cx="990600" cy="283029"/>
        </a:xfrm>
        <a:prstGeom prst="rect">
          <a:avLst/>
        </a:prstGeom>
      </xdr:spPr>
    </xdr:pic>
    <xdr:clientData/>
  </xdr:twoCellAnchor>
  <xdr:twoCellAnchor editAs="oneCell">
    <xdr:from>
      <xdr:col>1</xdr:col>
      <xdr:colOff>0</xdr:colOff>
      <xdr:row>5</xdr:row>
      <xdr:rowOff>133350</xdr:rowOff>
    </xdr:from>
    <xdr:to>
      <xdr:col>1</xdr:col>
      <xdr:colOff>552450</xdr:colOff>
      <xdr:row>6</xdr:row>
      <xdr:rowOff>364278</xdr:rowOff>
    </xdr:to>
    <xdr:pic>
      <xdr:nvPicPr>
        <xdr:cNvPr id="9" name="Obraz 15" descr="http://a.wpimg.pl/a/i/stg/550/wpw.png">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71475" y="942975"/>
          <a:ext cx="552450" cy="39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2038350</xdr:colOff>
      <xdr:row>0</xdr:row>
      <xdr:rowOff>152400</xdr:rowOff>
    </xdr:from>
    <xdr:to>
      <xdr:col>4</xdr:col>
      <xdr:colOff>704850</xdr:colOff>
      <xdr:row>4</xdr:row>
      <xdr:rowOff>83296</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095875" y="152400"/>
          <a:ext cx="762000" cy="578596"/>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1028341</xdr:colOff>
      <xdr:row>5</xdr:row>
      <xdr:rowOff>58486</xdr:rowOff>
    </xdr:to>
    <xdr:pic>
      <xdr:nvPicPr>
        <xdr:cNvPr id="2" name="Picture 2">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2</xdr:col>
      <xdr:colOff>733425</xdr:colOff>
      <xdr:row>1</xdr:row>
      <xdr:rowOff>28575</xdr:rowOff>
    </xdr:from>
    <xdr:to>
      <xdr:col>2</xdr:col>
      <xdr:colOff>1724025</xdr:colOff>
      <xdr:row>2</xdr:row>
      <xdr:rowOff>149679</xdr:rowOff>
    </xdr:to>
    <xdr:pic>
      <xdr:nvPicPr>
        <xdr:cNvPr id="3" name="Obraz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4425" y="190500"/>
          <a:ext cx="990600" cy="28302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1028341</xdr:colOff>
      <xdr:row>5</xdr:row>
      <xdr:rowOff>58486</xdr:rowOff>
    </xdr:to>
    <xdr:pic>
      <xdr:nvPicPr>
        <xdr:cNvPr id="2" name="Picture 2">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2</xdr:col>
      <xdr:colOff>733425</xdr:colOff>
      <xdr:row>1</xdr:row>
      <xdr:rowOff>28575</xdr:rowOff>
    </xdr:from>
    <xdr:to>
      <xdr:col>2</xdr:col>
      <xdr:colOff>1724025</xdr:colOff>
      <xdr:row>2</xdr:row>
      <xdr:rowOff>149679</xdr:rowOff>
    </xdr:to>
    <xdr:pic>
      <xdr:nvPicPr>
        <xdr:cNvPr id="3" name="Obraz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4425" y="190500"/>
          <a:ext cx="990600" cy="283029"/>
        </a:xfrm>
        <a:prstGeom prst="rect">
          <a:avLst/>
        </a:prstGeom>
      </xdr:spPr>
    </xdr:pic>
    <xdr:clientData/>
  </xdr:twoCellAnchor>
  <xdr:twoCellAnchor editAs="oneCell">
    <xdr:from>
      <xdr:col>5</xdr:col>
      <xdr:colOff>809625</xdr:colOff>
      <xdr:row>1</xdr:row>
      <xdr:rowOff>0</xdr:rowOff>
    </xdr:from>
    <xdr:to>
      <xdr:col>6</xdr:col>
      <xdr:colOff>523875</xdr:colOff>
      <xdr:row>4</xdr:row>
      <xdr:rowOff>92821</xdr:rowOff>
    </xdr:to>
    <xdr:pic>
      <xdr:nvPicPr>
        <xdr:cNvPr id="4" name="Obraz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238875" y="161925"/>
          <a:ext cx="762000" cy="578596"/>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837841</xdr:colOff>
      <xdr:row>5</xdr:row>
      <xdr:rowOff>58486</xdr:rowOff>
    </xdr:to>
    <xdr:pic>
      <xdr:nvPicPr>
        <xdr:cNvPr id="5" name="Picture 2">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2</xdr:col>
      <xdr:colOff>542925</xdr:colOff>
      <xdr:row>1</xdr:row>
      <xdr:rowOff>28575</xdr:rowOff>
    </xdr:from>
    <xdr:to>
      <xdr:col>2</xdr:col>
      <xdr:colOff>1533525</xdr:colOff>
      <xdr:row>2</xdr:row>
      <xdr:rowOff>149679</xdr:rowOff>
    </xdr:to>
    <xdr:pic>
      <xdr:nvPicPr>
        <xdr:cNvPr id="3" name="Obraz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4425" y="190500"/>
          <a:ext cx="990600" cy="283029"/>
        </a:xfrm>
        <a:prstGeom prst="rect">
          <a:avLst/>
        </a:prstGeom>
      </xdr:spPr>
    </xdr:pic>
    <xdr:clientData/>
  </xdr:twoCellAnchor>
  <xdr:twoCellAnchor editAs="oneCell">
    <xdr:from>
      <xdr:col>3</xdr:col>
      <xdr:colOff>590550</xdr:colOff>
      <xdr:row>1</xdr:row>
      <xdr:rowOff>0</xdr:rowOff>
    </xdr:from>
    <xdr:to>
      <xdr:col>3</xdr:col>
      <xdr:colOff>1352550</xdr:colOff>
      <xdr:row>4</xdr:row>
      <xdr:rowOff>92821</xdr:rowOff>
    </xdr:to>
    <xdr:pic>
      <xdr:nvPicPr>
        <xdr:cNvPr id="2" name="Obraz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57550" y="161925"/>
          <a:ext cx="762000" cy="578596"/>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733425</xdr:colOff>
      <xdr:row>1</xdr:row>
      <xdr:rowOff>28575</xdr:rowOff>
    </xdr:from>
    <xdr:to>
      <xdr:col>2</xdr:col>
      <xdr:colOff>361950</xdr:colOff>
      <xdr:row>2</xdr:row>
      <xdr:rowOff>149679</xdr:rowOff>
    </xdr:to>
    <xdr:pic>
      <xdr:nvPicPr>
        <xdr:cNvPr id="4" name="Obraz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4425" y="190500"/>
          <a:ext cx="990600" cy="283029"/>
        </a:xfrm>
        <a:prstGeom prst="rect">
          <a:avLst/>
        </a:prstGeom>
      </xdr:spPr>
    </xdr:pic>
    <xdr:clientData/>
  </xdr:twoCellAnchor>
  <xdr:twoCellAnchor editAs="oneCell">
    <xdr:from>
      <xdr:col>0</xdr:col>
      <xdr:colOff>0</xdr:colOff>
      <xdr:row>0</xdr:row>
      <xdr:rowOff>0</xdr:rowOff>
    </xdr:from>
    <xdr:to>
      <xdr:col>1</xdr:col>
      <xdr:colOff>1028341</xdr:colOff>
      <xdr:row>5</xdr:row>
      <xdr:rowOff>58486</xdr:rowOff>
    </xdr:to>
    <xdr:pic>
      <xdr:nvPicPr>
        <xdr:cNvPr id="5" name="Picture 2">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723900</xdr:colOff>
      <xdr:row>7</xdr:row>
      <xdr:rowOff>28575</xdr:rowOff>
    </xdr:from>
    <xdr:to>
      <xdr:col>2</xdr:col>
      <xdr:colOff>1628775</xdr:colOff>
      <xdr:row>9</xdr:row>
      <xdr:rowOff>561975</xdr:rowOff>
    </xdr:to>
    <xdr:pic>
      <xdr:nvPicPr>
        <xdr:cNvPr id="1085460" name="Obraz 4">
          <a:extLst>
            <a:ext uri="{FF2B5EF4-FFF2-40B4-BE49-F238E27FC236}">
              <a16:creationId xmlns:a16="http://schemas.microsoft.com/office/drawing/2014/main" id="{00000000-0008-0000-0D00-000014901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1362075"/>
          <a:ext cx="904875" cy="914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504825</xdr:colOff>
      <xdr:row>1</xdr:row>
      <xdr:rowOff>0</xdr:rowOff>
    </xdr:from>
    <xdr:to>
      <xdr:col>2</xdr:col>
      <xdr:colOff>885825</xdr:colOff>
      <xdr:row>2</xdr:row>
      <xdr:rowOff>92529</xdr:rowOff>
    </xdr:to>
    <xdr:pic>
      <xdr:nvPicPr>
        <xdr:cNvPr id="7" name="Obraz 6">
          <a:extLst>
            <a:ext uri="{FF2B5EF4-FFF2-40B4-BE49-F238E27FC236}">
              <a16:creationId xmlns:a16="http://schemas.microsoft.com/office/drawing/2014/main" id="{00000000-0008-0000-0D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4425" y="190500"/>
          <a:ext cx="990600" cy="283029"/>
        </a:xfrm>
        <a:prstGeom prst="rect">
          <a:avLst/>
        </a:prstGeom>
      </xdr:spPr>
    </xdr:pic>
    <xdr:clientData/>
  </xdr:twoCellAnchor>
  <xdr:twoCellAnchor editAs="oneCell">
    <xdr:from>
      <xdr:col>0</xdr:col>
      <xdr:colOff>0</xdr:colOff>
      <xdr:row>0</xdr:row>
      <xdr:rowOff>0</xdr:rowOff>
    </xdr:from>
    <xdr:to>
      <xdr:col>2</xdr:col>
      <xdr:colOff>190141</xdr:colOff>
      <xdr:row>4</xdr:row>
      <xdr:rowOff>106111</xdr:rowOff>
    </xdr:to>
    <xdr:pic>
      <xdr:nvPicPr>
        <xdr:cNvPr id="8" name="Picture 2">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1</xdr:col>
      <xdr:colOff>352426</xdr:colOff>
      <xdr:row>7</xdr:row>
      <xdr:rowOff>28575</xdr:rowOff>
    </xdr:from>
    <xdr:to>
      <xdr:col>2</xdr:col>
      <xdr:colOff>664470</xdr:colOff>
      <xdr:row>9</xdr:row>
      <xdr:rowOff>569219</xdr:rowOff>
    </xdr:to>
    <xdr:pic>
      <xdr:nvPicPr>
        <xdr:cNvPr id="6" name="Obraz 5">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62026" y="1362075"/>
          <a:ext cx="921644" cy="92164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oneCellAnchor>
    <xdr:from>
      <xdr:col>0</xdr:col>
      <xdr:colOff>140412</xdr:colOff>
      <xdr:row>0</xdr:row>
      <xdr:rowOff>127000</xdr:rowOff>
    </xdr:from>
    <xdr:ext cx="1304872" cy="939800"/>
    <xdr:pic>
      <xdr:nvPicPr>
        <xdr:cNvPr id="2" name="Obraz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412" y="127000"/>
          <a:ext cx="1304872" cy="939800"/>
        </a:xfrm>
        <a:prstGeom prst="rect">
          <a:avLst/>
        </a:prstGeom>
        <a:noFill/>
        <a:ln>
          <a:noFill/>
        </a:ln>
      </xdr:spPr>
    </xdr:pic>
    <xdr:clientData/>
  </xdr:oneCellAnchor>
  <xdr:twoCellAnchor>
    <xdr:from>
      <xdr:col>2</xdr:col>
      <xdr:colOff>304800</xdr:colOff>
      <xdr:row>0</xdr:row>
      <xdr:rowOff>12700</xdr:rowOff>
    </xdr:from>
    <xdr:to>
      <xdr:col>14</xdr:col>
      <xdr:colOff>558800</xdr:colOff>
      <xdr:row>22</xdr:row>
      <xdr:rowOff>88900</xdr:rowOff>
    </xdr:to>
    <xdr:sp macro="" textlink="">
      <xdr:nvSpPr>
        <xdr:cNvPr id="3" name="pole tekstowe 2">
          <a:extLst>
            <a:ext uri="{FF2B5EF4-FFF2-40B4-BE49-F238E27FC236}">
              <a16:creationId xmlns:a16="http://schemas.microsoft.com/office/drawing/2014/main" id="{00000000-0008-0000-0E00-000003000000}"/>
            </a:ext>
          </a:extLst>
        </xdr:cNvPr>
        <xdr:cNvSpPr txBox="1"/>
      </xdr:nvSpPr>
      <xdr:spPr>
        <a:xfrm>
          <a:off x="1466850" y="12700"/>
          <a:ext cx="7226300" cy="426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b="1">
              <a:solidFill>
                <a:schemeClr val="dk1"/>
              </a:solidFill>
              <a:effectLst/>
              <a:latin typeface="+mn-lt"/>
              <a:ea typeface="+mn-ea"/>
              <a:cs typeface="+mn-cs"/>
            </a:rPr>
            <a:t>Emisja zeroemisyjnych kampanii reklamowych na powierzchniach Wirtualnej Polski pozwala reklamodawcom na obniżenie ich śladu węglowego, czyli emisji gazów cieplarnianych. WP jako pierwszy wydawca internetowy w Polsce zasila serwerownie wyłącznie energią odnawialną, z gwarancjami pochodzenia. Dodatkowo spółka jest właścicielem trzech farm fotowoltaicznych, których produkcja w niemal 80% pokrywa zużycie energii wykorzystywanej przez serwerownie.</a:t>
          </a:r>
        </a:p>
        <a:p>
          <a:endParaRPr lang="pl-PL" sz="1100">
            <a:solidFill>
              <a:schemeClr val="dk1"/>
            </a:solidFill>
            <a:effectLst/>
            <a:latin typeface="+mn-lt"/>
            <a:ea typeface="+mn-ea"/>
            <a:cs typeface="+mn-cs"/>
          </a:endParaRPr>
        </a:p>
        <a:p>
          <a:r>
            <a:rPr lang="pl-PL" sz="1100">
              <a:solidFill>
                <a:schemeClr val="dk1"/>
              </a:solidFill>
              <a:effectLst/>
              <a:latin typeface="+mn-lt"/>
              <a:ea typeface="+mn-ea"/>
              <a:cs typeface="+mn-cs"/>
            </a:rPr>
            <a:t>Zieloną transformację Wirtualna Polska prowadzi od początku 2021 roku. Uruchomiła projekt „WP Naturalnie”, którego istotną częścią są inwestycje we własne, odnawialne źródła energii. WP jest właścicielem trzech farm fotowoltaicznych o łącznej mocy prawie 5 megawatów. Odpowiada to za niemal 80% faktycznego zużycia energii we własnych serwerowniach. Jednocześnie całość energii kupowanej przez spółkę ma gwarancje pochodzenia ze źródeł odnawialnych. Dzięki temu może emitować zeroemisyjne reklamy.</a:t>
          </a:r>
        </a:p>
        <a:p>
          <a:endParaRPr lang="pl-PL" sz="1100">
            <a:solidFill>
              <a:schemeClr val="dk1"/>
            </a:solidFill>
            <a:effectLst/>
            <a:latin typeface="+mn-lt"/>
            <a:ea typeface="+mn-ea"/>
            <a:cs typeface="+mn-cs"/>
          </a:endParaRPr>
        </a:p>
        <a:p>
          <a:r>
            <a:rPr lang="pl-PL" sz="1100">
              <a:solidFill>
                <a:schemeClr val="dk1"/>
              </a:solidFill>
              <a:effectLst/>
              <a:latin typeface="+mn-lt"/>
              <a:ea typeface="+mn-ea"/>
              <a:cs typeface="+mn-cs"/>
            </a:rPr>
            <a:t>Zeroemisyjne reklamy w Wirtualnej Polsce wpisują się w wyzwania związane ze zrównoważonym rozwojem, które stoją przed całą branżą reklamową. Dotyczy to również reklam cyfrowych. WP nie ma wpływu na wszystkie etapy tego procesu, który żużywa energię elektryczną od momentu planowania kampanii aż do przetwarzania danych. Jednak emisje gazów cieplarnianych w zakresie na który ma wpływ, zredukowała do zera. </a:t>
          </a:r>
        </a:p>
        <a:p>
          <a:endParaRPr lang="pl-PL" sz="1100">
            <a:solidFill>
              <a:schemeClr val="dk1"/>
            </a:solidFill>
            <a:effectLst/>
            <a:latin typeface="+mn-lt"/>
            <a:ea typeface="+mn-ea"/>
            <a:cs typeface="+mn-cs"/>
          </a:endParaRPr>
        </a:p>
        <a:p>
          <a:r>
            <a:rPr lang="pl-PL" sz="1100">
              <a:solidFill>
                <a:schemeClr val="dk1"/>
              </a:solidFill>
              <a:effectLst/>
              <a:latin typeface="+mn-lt"/>
              <a:ea typeface="+mn-ea"/>
              <a:cs typeface="+mn-cs"/>
            </a:rPr>
            <a:t>Wirtualna Polska Holding S.A. w 2022 roku przyjęła pierwszą Strategię Zrównoważonego Rozwoju. W dokumencie opisane zostały trzy główne obszary działań – środowisko, społeczeństwo i ład korporacyjny, w których spółka przez najbliższe lata realizować będzie wyznaczone zadania. Wśród priorytetów jest przejście w całości na zieloną energię oraz edukacja klimatyczna. Do najważniejszych zrealizowanych ekologicznych projektów, poza przechodzeniem na zieloną energię, należy dodać działania na rzecz bioróżnorodności. W ubiegłym roku spółka wzięła pod ochronę 1,5 hektara lasu w miejscowości Bochotnica na Lubelszczyźnie, a rok wcześniej posadziła 1 hektar lasu </a:t>
          </a:r>
          <a:br>
            <a:rPr lang="pl-PL" sz="1100">
              <a:solidFill>
                <a:schemeClr val="dk1"/>
              </a:solidFill>
              <a:effectLst/>
              <a:latin typeface="+mn-lt"/>
              <a:ea typeface="+mn-ea"/>
              <a:cs typeface="+mn-cs"/>
            </a:rPr>
          </a:br>
          <a:r>
            <a:rPr lang="pl-PL" sz="1100">
              <a:solidFill>
                <a:schemeClr val="dk1"/>
              </a:solidFill>
              <a:effectLst/>
              <a:latin typeface="+mn-lt"/>
              <a:ea typeface="+mn-ea"/>
              <a:cs typeface="+mn-cs"/>
            </a:rPr>
            <a:t>w Olędach koło Siedlec. Na rok 2023 zaplanowana jest kontynuacja projektów w tym obszarze.</a:t>
          </a:r>
        </a:p>
        <a:p>
          <a:endParaRPr lang="pl-PL"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834526</xdr:colOff>
      <xdr:row>5</xdr:row>
      <xdr:rowOff>58486</xdr:rowOff>
    </xdr:to>
    <xdr:pic>
      <xdr:nvPicPr>
        <xdr:cNvPr id="5" name="Picture 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602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2</xdr:col>
      <xdr:colOff>542925</xdr:colOff>
      <xdr:row>1</xdr:row>
      <xdr:rowOff>28575</xdr:rowOff>
    </xdr:from>
    <xdr:to>
      <xdr:col>2</xdr:col>
      <xdr:colOff>1533525</xdr:colOff>
      <xdr:row>2</xdr:row>
      <xdr:rowOff>149679</xdr:rowOff>
    </xdr:to>
    <xdr:pic>
      <xdr:nvPicPr>
        <xdr:cNvPr id="7" name="Obraz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4425" y="190500"/>
          <a:ext cx="990600" cy="283029"/>
        </a:xfrm>
        <a:prstGeom prst="rect">
          <a:avLst/>
        </a:prstGeom>
      </xdr:spPr>
    </xdr:pic>
    <xdr:clientData/>
  </xdr:twoCellAnchor>
  <xdr:twoCellAnchor editAs="oneCell">
    <xdr:from>
      <xdr:col>2</xdr:col>
      <xdr:colOff>28575</xdr:colOff>
      <xdr:row>6</xdr:row>
      <xdr:rowOff>57150</xdr:rowOff>
    </xdr:from>
    <xdr:to>
      <xdr:col>2</xdr:col>
      <xdr:colOff>581025</xdr:colOff>
      <xdr:row>7</xdr:row>
      <xdr:rowOff>126153</xdr:rowOff>
    </xdr:to>
    <xdr:pic>
      <xdr:nvPicPr>
        <xdr:cNvPr id="9" name="Obraz 15" descr="http://a.wpimg.pl/a/i/stg/550/wpw.png">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0075" y="1028700"/>
          <a:ext cx="552450" cy="39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xdr:colOff>
      <xdr:row>60</xdr:row>
      <xdr:rowOff>57150</xdr:rowOff>
    </xdr:from>
    <xdr:to>
      <xdr:col>2</xdr:col>
      <xdr:colOff>581025</xdr:colOff>
      <xdr:row>61</xdr:row>
      <xdr:rowOff>126154</xdr:rowOff>
    </xdr:to>
    <xdr:pic>
      <xdr:nvPicPr>
        <xdr:cNvPr id="3" name="Obraz 15" descr="http://a.wpimg.pl/a/i/stg/550/wpw.pn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0075" y="3781425"/>
          <a:ext cx="552450" cy="39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xdr:colOff>
      <xdr:row>51</xdr:row>
      <xdr:rowOff>47625</xdr:rowOff>
    </xdr:from>
    <xdr:to>
      <xdr:col>2</xdr:col>
      <xdr:colOff>581025</xdr:colOff>
      <xdr:row>52</xdr:row>
      <xdr:rowOff>116629</xdr:rowOff>
    </xdr:to>
    <xdr:pic>
      <xdr:nvPicPr>
        <xdr:cNvPr id="4" name="Obraz 15" descr="http://a.wpimg.pl/a/i/stg/550/wpw.pn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0075" y="13811250"/>
          <a:ext cx="552450" cy="39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xdr:colOff>
      <xdr:row>76</xdr:row>
      <xdr:rowOff>57150</xdr:rowOff>
    </xdr:from>
    <xdr:to>
      <xdr:col>2</xdr:col>
      <xdr:colOff>581025</xdr:colOff>
      <xdr:row>77</xdr:row>
      <xdr:rowOff>126152</xdr:rowOff>
    </xdr:to>
    <xdr:pic>
      <xdr:nvPicPr>
        <xdr:cNvPr id="8" name="Obraz 15" descr="http://a.wpimg.pl/a/i/stg/550/wpw.png">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0075" y="13820775"/>
          <a:ext cx="552450" cy="39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xdr:colOff>
      <xdr:row>86</xdr:row>
      <xdr:rowOff>57150</xdr:rowOff>
    </xdr:from>
    <xdr:to>
      <xdr:col>2</xdr:col>
      <xdr:colOff>581025</xdr:colOff>
      <xdr:row>87</xdr:row>
      <xdr:rowOff>126153</xdr:rowOff>
    </xdr:to>
    <xdr:pic>
      <xdr:nvPicPr>
        <xdr:cNvPr id="10" name="Obraz 15" descr="http://a.wpimg.pl/a/i/stg/550/wpw.pn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0075" y="15601950"/>
          <a:ext cx="552450" cy="39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4514850</xdr:colOff>
      <xdr:row>0</xdr:row>
      <xdr:rowOff>152400</xdr:rowOff>
    </xdr:from>
    <xdr:to>
      <xdr:col>3</xdr:col>
      <xdr:colOff>704850</xdr:colOff>
      <xdr:row>4</xdr:row>
      <xdr:rowOff>83296</xdr:rowOff>
    </xdr:to>
    <xdr:pic>
      <xdr:nvPicPr>
        <xdr:cNvPr id="2" name="Obraz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086350" y="152400"/>
          <a:ext cx="762000" cy="57859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75334</xdr:colOff>
      <xdr:row>6</xdr:row>
      <xdr:rowOff>0</xdr:rowOff>
    </xdr:from>
    <xdr:to>
      <xdr:col>2</xdr:col>
      <xdr:colOff>500495</xdr:colOff>
      <xdr:row>7</xdr:row>
      <xdr:rowOff>123825</xdr:rowOff>
    </xdr:to>
    <xdr:pic>
      <xdr:nvPicPr>
        <xdr:cNvPr id="1083540" name="Obraz 14" descr="1.png">
          <a:extLst>
            <a:ext uri="{FF2B5EF4-FFF2-40B4-BE49-F238E27FC236}">
              <a16:creationId xmlns:a16="http://schemas.microsoft.com/office/drawing/2014/main" id="{00000000-0008-0000-0200-000094881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6834" y="971550"/>
          <a:ext cx="425161"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33</xdr:row>
      <xdr:rowOff>19050</xdr:rowOff>
    </xdr:from>
    <xdr:to>
      <xdr:col>2</xdr:col>
      <xdr:colOff>952500</xdr:colOff>
      <xdr:row>35</xdr:row>
      <xdr:rowOff>95250</xdr:rowOff>
    </xdr:to>
    <xdr:pic>
      <xdr:nvPicPr>
        <xdr:cNvPr id="1083541" name="Picture 2" descr="image003">
          <a:extLst>
            <a:ext uri="{FF2B5EF4-FFF2-40B4-BE49-F238E27FC236}">
              <a16:creationId xmlns:a16="http://schemas.microsoft.com/office/drawing/2014/main" id="{00000000-0008-0000-0200-000095881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 y="6496050"/>
          <a:ext cx="1400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45</xdr:row>
      <xdr:rowOff>66675</xdr:rowOff>
    </xdr:from>
    <xdr:to>
      <xdr:col>2</xdr:col>
      <xdr:colOff>619125</xdr:colOff>
      <xdr:row>47</xdr:row>
      <xdr:rowOff>66676</xdr:rowOff>
    </xdr:to>
    <xdr:pic>
      <xdr:nvPicPr>
        <xdr:cNvPr id="1083544" name="Obraz 2">
          <a:extLst>
            <a:ext uri="{FF2B5EF4-FFF2-40B4-BE49-F238E27FC236}">
              <a16:creationId xmlns:a16="http://schemas.microsoft.com/office/drawing/2014/main" id="{00000000-0008-0000-0200-000098881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1925" y="14316075"/>
          <a:ext cx="10287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834526</xdr:colOff>
      <xdr:row>5</xdr:row>
      <xdr:rowOff>58486</xdr:rowOff>
    </xdr:to>
    <xdr:pic>
      <xdr:nvPicPr>
        <xdr:cNvPr id="17" name="Picture 2">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0</xdr:col>
      <xdr:colOff>142875</xdr:colOff>
      <xdr:row>99</xdr:row>
      <xdr:rowOff>76201</xdr:rowOff>
    </xdr:from>
    <xdr:to>
      <xdr:col>2</xdr:col>
      <xdr:colOff>933450</xdr:colOff>
      <xdr:row>101</xdr:row>
      <xdr:rowOff>70168</xdr:rowOff>
    </xdr:to>
    <xdr:pic>
      <xdr:nvPicPr>
        <xdr:cNvPr id="3" name="Obraz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2875" y="11249026"/>
          <a:ext cx="1362075" cy="317818"/>
        </a:xfrm>
        <a:prstGeom prst="rect">
          <a:avLst/>
        </a:prstGeom>
      </xdr:spPr>
    </xdr:pic>
    <xdr:clientData/>
  </xdr:twoCellAnchor>
  <xdr:twoCellAnchor editAs="oneCell">
    <xdr:from>
      <xdr:col>2</xdr:col>
      <xdr:colOff>542925</xdr:colOff>
      <xdr:row>1</xdr:row>
      <xdr:rowOff>28575</xdr:rowOff>
    </xdr:from>
    <xdr:to>
      <xdr:col>3</xdr:col>
      <xdr:colOff>485775</xdr:colOff>
      <xdr:row>2</xdr:row>
      <xdr:rowOff>149679</xdr:rowOff>
    </xdr:to>
    <xdr:pic>
      <xdr:nvPicPr>
        <xdr:cNvPr id="11" name="Obraz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114425" y="190500"/>
          <a:ext cx="990600" cy="283029"/>
        </a:xfrm>
        <a:prstGeom prst="rect">
          <a:avLst/>
        </a:prstGeom>
      </xdr:spPr>
    </xdr:pic>
    <xdr:clientData/>
  </xdr:twoCellAnchor>
  <xdr:twoCellAnchor editAs="oneCell">
    <xdr:from>
      <xdr:col>0</xdr:col>
      <xdr:colOff>147206</xdr:colOff>
      <xdr:row>63</xdr:row>
      <xdr:rowOff>60615</xdr:rowOff>
    </xdr:from>
    <xdr:to>
      <xdr:col>3</xdr:col>
      <xdr:colOff>133350</xdr:colOff>
      <xdr:row>65</xdr:row>
      <xdr:rowOff>51956</xdr:rowOff>
    </xdr:to>
    <xdr:pic>
      <xdr:nvPicPr>
        <xdr:cNvPr id="2" name="Obraz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7206" y="22175933"/>
          <a:ext cx="1601930" cy="320386"/>
        </a:xfrm>
        <a:prstGeom prst="rect">
          <a:avLst/>
        </a:prstGeom>
      </xdr:spPr>
    </xdr:pic>
    <xdr:clientData/>
  </xdr:twoCellAnchor>
  <xdr:twoCellAnchor editAs="oneCell">
    <xdr:from>
      <xdr:col>1</xdr:col>
      <xdr:colOff>0</xdr:colOff>
      <xdr:row>108</xdr:row>
      <xdr:rowOff>47625</xdr:rowOff>
    </xdr:from>
    <xdr:to>
      <xdr:col>2</xdr:col>
      <xdr:colOff>171450</xdr:colOff>
      <xdr:row>109</xdr:row>
      <xdr:rowOff>116628</xdr:rowOff>
    </xdr:to>
    <xdr:pic>
      <xdr:nvPicPr>
        <xdr:cNvPr id="16" name="Obraz 15" descr="http://a.wpimg.pl/a/i/stg/550/wpw.png">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90500" y="22745700"/>
          <a:ext cx="552450" cy="39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117</xdr:row>
      <xdr:rowOff>285750</xdr:rowOff>
    </xdr:from>
    <xdr:to>
      <xdr:col>2</xdr:col>
      <xdr:colOff>171450</xdr:colOff>
      <xdr:row>119</xdr:row>
      <xdr:rowOff>30902</xdr:rowOff>
    </xdr:to>
    <xdr:pic>
      <xdr:nvPicPr>
        <xdr:cNvPr id="18" name="Obraz 15" descr="http://a.wpimg.pl/a/i/stg/550/wpw.png">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90500" y="24945975"/>
          <a:ext cx="552450" cy="392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104776</xdr:colOff>
      <xdr:row>74</xdr:row>
      <xdr:rowOff>13905</xdr:rowOff>
    </xdr:from>
    <xdr:to>
      <xdr:col>3</xdr:col>
      <xdr:colOff>457200</xdr:colOff>
      <xdr:row>76</xdr:row>
      <xdr:rowOff>84390</xdr:rowOff>
    </xdr:to>
    <xdr:pic>
      <xdr:nvPicPr>
        <xdr:cNvPr id="4" name="Obraz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04776" y="26255280"/>
          <a:ext cx="1971674" cy="394335"/>
        </a:xfrm>
        <a:prstGeom prst="rect">
          <a:avLst/>
        </a:prstGeom>
      </xdr:spPr>
    </xdr:pic>
    <xdr:clientData/>
  </xdr:twoCellAnchor>
  <xdr:twoCellAnchor editAs="oneCell">
    <xdr:from>
      <xdr:col>4</xdr:col>
      <xdr:colOff>1171575</xdr:colOff>
      <xdr:row>1</xdr:row>
      <xdr:rowOff>0</xdr:rowOff>
    </xdr:from>
    <xdr:to>
      <xdr:col>5</xdr:col>
      <xdr:colOff>695325</xdr:colOff>
      <xdr:row>4</xdr:row>
      <xdr:rowOff>92821</xdr:rowOff>
    </xdr:to>
    <xdr:pic>
      <xdr:nvPicPr>
        <xdr:cNvPr id="6" name="Obraz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362575" y="161925"/>
          <a:ext cx="762000" cy="578596"/>
        </a:xfrm>
        <a:prstGeom prst="rect">
          <a:avLst/>
        </a:prstGeom>
        <a:noFill/>
        <a:ln>
          <a:noFill/>
        </a:ln>
      </xdr:spPr>
    </xdr:pic>
    <xdr:clientData/>
  </xdr:twoCellAnchor>
  <xdr:twoCellAnchor editAs="oneCell">
    <xdr:from>
      <xdr:col>0</xdr:col>
      <xdr:colOff>140942</xdr:colOff>
      <xdr:row>88</xdr:row>
      <xdr:rowOff>72754</xdr:rowOff>
    </xdr:from>
    <xdr:to>
      <xdr:col>2</xdr:col>
      <xdr:colOff>420819</xdr:colOff>
      <xdr:row>91</xdr:row>
      <xdr:rowOff>5856</xdr:rowOff>
    </xdr:to>
    <xdr:pic>
      <xdr:nvPicPr>
        <xdr:cNvPr id="5" name="Obraz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1"/>
        <a:stretch>
          <a:fillRect/>
        </a:stretch>
      </xdr:blipFill>
      <xdr:spPr>
        <a:xfrm rot="21410516">
          <a:off x="140942" y="20160979"/>
          <a:ext cx="851377" cy="418877"/>
        </a:xfrm>
        <a:prstGeom prst="rect">
          <a:avLst/>
        </a:prstGeom>
      </xdr:spPr>
    </xdr:pic>
    <xdr:clientData/>
  </xdr:twoCellAnchor>
  <xdr:twoCellAnchor editAs="oneCell">
    <xdr:from>
      <xdr:col>2</xdr:col>
      <xdr:colOff>95250</xdr:colOff>
      <xdr:row>25</xdr:row>
      <xdr:rowOff>142875</xdr:rowOff>
    </xdr:from>
    <xdr:to>
      <xdr:col>2</xdr:col>
      <xdr:colOff>520411</xdr:colOff>
      <xdr:row>28</xdr:row>
      <xdr:rowOff>104775</xdr:rowOff>
    </xdr:to>
    <xdr:pic>
      <xdr:nvPicPr>
        <xdr:cNvPr id="7" name="Obraz 14" descr="1.png">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6134100"/>
          <a:ext cx="425161"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142875</xdr:rowOff>
    </xdr:from>
    <xdr:to>
      <xdr:col>2</xdr:col>
      <xdr:colOff>266700</xdr:colOff>
      <xdr:row>28</xdr:row>
      <xdr:rowOff>174623</xdr:rowOff>
    </xdr:to>
    <xdr:pic>
      <xdr:nvPicPr>
        <xdr:cNvPr id="9" name="Picture 2">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0" y="6134100"/>
          <a:ext cx="838200" cy="517523"/>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834526</xdr:colOff>
      <xdr:row>5</xdr:row>
      <xdr:rowOff>58486</xdr:rowOff>
    </xdr:to>
    <xdr:pic>
      <xdr:nvPicPr>
        <xdr:cNvPr id="2" name="Picture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602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2</xdr:col>
      <xdr:colOff>542925</xdr:colOff>
      <xdr:row>1</xdr:row>
      <xdr:rowOff>28575</xdr:rowOff>
    </xdr:from>
    <xdr:to>
      <xdr:col>2</xdr:col>
      <xdr:colOff>1533525</xdr:colOff>
      <xdr:row>2</xdr:row>
      <xdr:rowOff>149679</xdr:rowOff>
    </xdr:to>
    <xdr:pic>
      <xdr:nvPicPr>
        <xdr:cNvPr id="3" name="Obraz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4425" y="190500"/>
          <a:ext cx="990600" cy="283029"/>
        </a:xfrm>
        <a:prstGeom prst="rect">
          <a:avLst/>
        </a:prstGeom>
      </xdr:spPr>
    </xdr:pic>
    <xdr:clientData/>
  </xdr:twoCellAnchor>
  <xdr:twoCellAnchor editAs="oneCell">
    <xdr:from>
      <xdr:col>1</xdr:col>
      <xdr:colOff>371475</xdr:colOff>
      <xdr:row>12</xdr:row>
      <xdr:rowOff>54430</xdr:rowOff>
    </xdr:from>
    <xdr:to>
      <xdr:col>2</xdr:col>
      <xdr:colOff>1609725</xdr:colOff>
      <xdr:row>13</xdr:row>
      <xdr:rowOff>48490</xdr:rowOff>
    </xdr:to>
    <xdr:pic>
      <xdr:nvPicPr>
        <xdr:cNvPr id="8" name="Obraz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61975" y="2969080"/>
          <a:ext cx="1619250" cy="317910"/>
        </a:xfrm>
        <a:prstGeom prst="rect">
          <a:avLst/>
        </a:prstGeom>
      </xdr:spPr>
    </xdr:pic>
    <xdr:clientData/>
  </xdr:twoCellAnchor>
  <xdr:twoCellAnchor editAs="oneCell">
    <xdr:from>
      <xdr:col>2</xdr:col>
      <xdr:colOff>28575</xdr:colOff>
      <xdr:row>30</xdr:row>
      <xdr:rowOff>304800</xdr:rowOff>
    </xdr:from>
    <xdr:to>
      <xdr:col>2</xdr:col>
      <xdr:colOff>453736</xdr:colOff>
      <xdr:row>32</xdr:row>
      <xdr:rowOff>104775</xdr:rowOff>
    </xdr:to>
    <xdr:pic>
      <xdr:nvPicPr>
        <xdr:cNvPr id="11" name="Obraz 14" descr="1.png">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0075" y="8886825"/>
          <a:ext cx="425161"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19050</xdr:colOff>
      <xdr:row>37</xdr:row>
      <xdr:rowOff>66675</xdr:rowOff>
    </xdr:from>
    <xdr:to>
      <xdr:col>2</xdr:col>
      <xdr:colOff>1047750</xdr:colOff>
      <xdr:row>38</xdr:row>
      <xdr:rowOff>66676</xdr:rowOff>
    </xdr:to>
    <xdr:pic>
      <xdr:nvPicPr>
        <xdr:cNvPr id="13" name="Obraz 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0050" y="14963775"/>
          <a:ext cx="102870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18</xdr:row>
      <xdr:rowOff>266700</xdr:rowOff>
    </xdr:from>
    <xdr:to>
      <xdr:col>2</xdr:col>
      <xdr:colOff>1533525</xdr:colOff>
      <xdr:row>20</xdr:row>
      <xdr:rowOff>200025</xdr:rowOff>
    </xdr:to>
    <xdr:pic>
      <xdr:nvPicPr>
        <xdr:cNvPr id="14" name="Obraz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1950" y="4800600"/>
          <a:ext cx="1743075" cy="581025"/>
        </a:xfrm>
        <a:prstGeom prst="rect">
          <a:avLst/>
        </a:prstGeom>
      </xdr:spPr>
    </xdr:pic>
    <xdr:clientData/>
  </xdr:twoCellAnchor>
  <xdr:twoCellAnchor>
    <xdr:from>
      <xdr:col>1</xdr:col>
      <xdr:colOff>304800</xdr:colOff>
      <xdr:row>25</xdr:row>
      <xdr:rowOff>9525</xdr:rowOff>
    </xdr:from>
    <xdr:to>
      <xdr:col>2</xdr:col>
      <xdr:colOff>1504950</xdr:colOff>
      <xdr:row>26</xdr:row>
      <xdr:rowOff>85725</xdr:rowOff>
    </xdr:to>
    <xdr:pic>
      <xdr:nvPicPr>
        <xdr:cNvPr id="16" name="Picture 2" descr="image003">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95300" y="12801600"/>
          <a:ext cx="15811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323850</xdr:colOff>
      <xdr:row>4</xdr:row>
      <xdr:rowOff>28575</xdr:rowOff>
    </xdr:from>
    <xdr:to>
      <xdr:col>2</xdr:col>
      <xdr:colOff>1914524</xdr:colOff>
      <xdr:row>6</xdr:row>
      <xdr:rowOff>99060</xdr:rowOff>
    </xdr:to>
    <xdr:pic>
      <xdr:nvPicPr>
        <xdr:cNvPr id="15" name="Obraz 14">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14350" y="676275"/>
          <a:ext cx="1971674" cy="394335"/>
        </a:xfrm>
        <a:prstGeom prst="rect">
          <a:avLst/>
        </a:prstGeom>
      </xdr:spPr>
    </xdr:pic>
    <xdr:clientData/>
  </xdr:twoCellAnchor>
  <xdr:twoCellAnchor editAs="oneCell">
    <xdr:from>
      <xdr:col>2</xdr:col>
      <xdr:colOff>19050</xdr:colOff>
      <xdr:row>46</xdr:row>
      <xdr:rowOff>47625</xdr:rowOff>
    </xdr:from>
    <xdr:to>
      <xdr:col>2</xdr:col>
      <xdr:colOff>571500</xdr:colOff>
      <xdr:row>47</xdr:row>
      <xdr:rowOff>116628</xdr:rowOff>
    </xdr:to>
    <xdr:pic>
      <xdr:nvPicPr>
        <xdr:cNvPr id="5" name="Obraz 15" descr="http://a.wpimg.pl/a/i/stg/550/wpw.png">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90550" y="18830925"/>
          <a:ext cx="552450" cy="39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3238500</xdr:colOff>
      <xdr:row>1</xdr:row>
      <xdr:rowOff>0</xdr:rowOff>
    </xdr:from>
    <xdr:to>
      <xdr:col>2</xdr:col>
      <xdr:colOff>4000500</xdr:colOff>
      <xdr:row>4</xdr:row>
      <xdr:rowOff>92821</xdr:rowOff>
    </xdr:to>
    <xdr:pic>
      <xdr:nvPicPr>
        <xdr:cNvPr id="4" name="Obraz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810000" y="161925"/>
          <a:ext cx="762000" cy="57859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542925</xdr:colOff>
      <xdr:row>1</xdr:row>
      <xdr:rowOff>28575</xdr:rowOff>
    </xdr:from>
    <xdr:to>
      <xdr:col>2</xdr:col>
      <xdr:colOff>1533525</xdr:colOff>
      <xdr:row>2</xdr:row>
      <xdr:rowOff>149679</xdr:rowOff>
    </xdr:to>
    <xdr:pic>
      <xdr:nvPicPr>
        <xdr:cNvPr id="2" name="Obraz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4425" y="190500"/>
          <a:ext cx="990600" cy="283029"/>
        </a:xfrm>
        <a:prstGeom prst="rect">
          <a:avLst/>
        </a:prstGeom>
      </xdr:spPr>
    </xdr:pic>
    <xdr:clientData/>
  </xdr:twoCellAnchor>
  <xdr:twoCellAnchor editAs="oneCell">
    <xdr:from>
      <xdr:col>0</xdr:col>
      <xdr:colOff>0</xdr:colOff>
      <xdr:row>0</xdr:row>
      <xdr:rowOff>0</xdr:rowOff>
    </xdr:from>
    <xdr:to>
      <xdr:col>2</xdr:col>
      <xdr:colOff>834526</xdr:colOff>
      <xdr:row>5</xdr:row>
      <xdr:rowOff>58486</xdr:rowOff>
    </xdr:to>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0"/>
          <a:ext cx="140602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2</xdr:col>
      <xdr:colOff>28575</xdr:colOff>
      <xdr:row>10</xdr:row>
      <xdr:rowOff>304800</xdr:rowOff>
    </xdr:from>
    <xdr:to>
      <xdr:col>2</xdr:col>
      <xdr:colOff>453736</xdr:colOff>
      <xdr:row>12</xdr:row>
      <xdr:rowOff>104775</xdr:rowOff>
    </xdr:to>
    <xdr:pic>
      <xdr:nvPicPr>
        <xdr:cNvPr id="12" name="Obraz 14" descr="1.png">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0075" y="2409825"/>
          <a:ext cx="425161"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333375</xdr:colOff>
      <xdr:row>4</xdr:row>
      <xdr:rowOff>9525</xdr:rowOff>
    </xdr:from>
    <xdr:to>
      <xdr:col>2</xdr:col>
      <xdr:colOff>1533525</xdr:colOff>
      <xdr:row>6</xdr:row>
      <xdr:rowOff>85725</xdr:rowOff>
    </xdr:to>
    <xdr:pic>
      <xdr:nvPicPr>
        <xdr:cNvPr id="10" name="Picture 2" descr="image003">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3875" y="657225"/>
          <a:ext cx="15811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57150</xdr:rowOff>
    </xdr:from>
    <xdr:to>
      <xdr:col>2</xdr:col>
      <xdr:colOff>1619250</xdr:colOff>
      <xdr:row>21</xdr:row>
      <xdr:rowOff>51210</xdr:rowOff>
    </xdr:to>
    <xdr:pic>
      <xdr:nvPicPr>
        <xdr:cNvPr id="7" name="Obraz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1000" y="10420350"/>
          <a:ext cx="1619250" cy="317910"/>
        </a:xfrm>
        <a:prstGeom prst="rect">
          <a:avLst/>
        </a:prstGeom>
      </xdr:spPr>
    </xdr:pic>
    <xdr:clientData/>
  </xdr:twoCellAnchor>
  <xdr:twoCellAnchor editAs="oneCell">
    <xdr:from>
      <xdr:col>2</xdr:col>
      <xdr:colOff>3238500</xdr:colOff>
      <xdr:row>1</xdr:row>
      <xdr:rowOff>0</xdr:rowOff>
    </xdr:from>
    <xdr:to>
      <xdr:col>2</xdr:col>
      <xdr:colOff>4000500</xdr:colOff>
      <xdr:row>4</xdr:row>
      <xdr:rowOff>92821</xdr:rowOff>
    </xdr:to>
    <xdr:pic>
      <xdr:nvPicPr>
        <xdr:cNvPr id="5" name="Obraz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810000" y="161925"/>
          <a:ext cx="762000" cy="578596"/>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837841</xdr:colOff>
      <xdr:row>5</xdr:row>
      <xdr:rowOff>58486</xdr:rowOff>
    </xdr:to>
    <xdr:pic>
      <xdr:nvPicPr>
        <xdr:cNvPr id="5" name="Picture 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2</xdr:col>
      <xdr:colOff>552450</xdr:colOff>
      <xdr:row>1</xdr:row>
      <xdr:rowOff>28575</xdr:rowOff>
    </xdr:from>
    <xdr:to>
      <xdr:col>2</xdr:col>
      <xdr:colOff>1543050</xdr:colOff>
      <xdr:row>2</xdr:row>
      <xdr:rowOff>149679</xdr:rowOff>
    </xdr:to>
    <xdr:pic>
      <xdr:nvPicPr>
        <xdr:cNvPr id="3" name="Obraz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3950" y="190500"/>
          <a:ext cx="990600" cy="283029"/>
        </a:xfrm>
        <a:prstGeom prst="rect">
          <a:avLst/>
        </a:prstGeom>
      </xdr:spPr>
    </xdr:pic>
    <xdr:clientData/>
  </xdr:twoCellAnchor>
  <xdr:twoCellAnchor editAs="oneCell">
    <xdr:from>
      <xdr:col>4</xdr:col>
      <xdr:colOff>466725</xdr:colOff>
      <xdr:row>0</xdr:row>
      <xdr:rowOff>152400</xdr:rowOff>
    </xdr:from>
    <xdr:to>
      <xdr:col>5</xdr:col>
      <xdr:colOff>276225</xdr:colOff>
      <xdr:row>4</xdr:row>
      <xdr:rowOff>83296</xdr:rowOff>
    </xdr:to>
    <xdr:pic>
      <xdr:nvPicPr>
        <xdr:cNvPr id="2" name="Obraz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19725" y="152400"/>
          <a:ext cx="762000" cy="57859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837841</xdr:colOff>
      <xdr:row>5</xdr:row>
      <xdr:rowOff>58486</xdr:rowOff>
    </xdr:to>
    <xdr:pic>
      <xdr:nvPicPr>
        <xdr:cNvPr id="6" name="Picture 2">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2</xdr:col>
      <xdr:colOff>542925</xdr:colOff>
      <xdr:row>1</xdr:row>
      <xdr:rowOff>28575</xdr:rowOff>
    </xdr:from>
    <xdr:to>
      <xdr:col>3</xdr:col>
      <xdr:colOff>9525</xdr:colOff>
      <xdr:row>2</xdr:row>
      <xdr:rowOff>149679</xdr:rowOff>
    </xdr:to>
    <xdr:pic>
      <xdr:nvPicPr>
        <xdr:cNvPr id="3" name="Obraz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4425" y="190500"/>
          <a:ext cx="990600" cy="283029"/>
        </a:xfrm>
        <a:prstGeom prst="rect">
          <a:avLst/>
        </a:prstGeom>
      </xdr:spPr>
    </xdr:pic>
    <xdr:clientData/>
  </xdr:twoCellAnchor>
  <xdr:twoCellAnchor editAs="oneCell">
    <xdr:from>
      <xdr:col>5</xdr:col>
      <xdr:colOff>676275</xdr:colOff>
      <xdr:row>1</xdr:row>
      <xdr:rowOff>0</xdr:rowOff>
    </xdr:from>
    <xdr:to>
      <xdr:col>6</xdr:col>
      <xdr:colOff>438150</xdr:colOff>
      <xdr:row>4</xdr:row>
      <xdr:rowOff>92821</xdr:rowOff>
    </xdr:to>
    <xdr:pic>
      <xdr:nvPicPr>
        <xdr:cNvPr id="2" name="Obraz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05525" y="161925"/>
          <a:ext cx="762000" cy="57859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799741</xdr:colOff>
      <xdr:row>5</xdr:row>
      <xdr:rowOff>58486</xdr:rowOff>
    </xdr:to>
    <xdr:pic>
      <xdr:nvPicPr>
        <xdr:cNvPr id="6" name="Picture 2">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1</xdr:col>
      <xdr:colOff>504825</xdr:colOff>
      <xdr:row>1</xdr:row>
      <xdr:rowOff>28575</xdr:rowOff>
    </xdr:from>
    <xdr:to>
      <xdr:col>1</xdr:col>
      <xdr:colOff>1495425</xdr:colOff>
      <xdr:row>2</xdr:row>
      <xdr:rowOff>149679</xdr:rowOff>
    </xdr:to>
    <xdr:pic>
      <xdr:nvPicPr>
        <xdr:cNvPr id="7" name="Obraz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4425" y="190500"/>
          <a:ext cx="990600" cy="28302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1028341</xdr:colOff>
      <xdr:row>5</xdr:row>
      <xdr:rowOff>58486</xdr:rowOff>
    </xdr:to>
    <xdr:pic>
      <xdr:nvPicPr>
        <xdr:cNvPr id="4" name="Picture 2">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2</xdr:col>
      <xdr:colOff>733425</xdr:colOff>
      <xdr:row>1</xdr:row>
      <xdr:rowOff>28575</xdr:rowOff>
    </xdr:from>
    <xdr:to>
      <xdr:col>2</xdr:col>
      <xdr:colOff>1724025</xdr:colOff>
      <xdr:row>2</xdr:row>
      <xdr:rowOff>149679</xdr:rowOff>
    </xdr:to>
    <xdr:pic>
      <xdr:nvPicPr>
        <xdr:cNvPr id="3" name="Obraz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4425" y="190500"/>
          <a:ext cx="990600" cy="283029"/>
        </a:xfrm>
        <a:prstGeom prst="rect">
          <a:avLst/>
        </a:prstGeom>
      </xdr:spPr>
    </xdr:pic>
    <xdr:clientData/>
  </xdr:twoCellAnchor>
</xdr:wsDr>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hyperlink" Target="https://reklama.wp.pl/strefa-klienta" TargetMode="External"/><Relationship Id="rId1" Type="http://schemas.openxmlformats.org/officeDocument/2006/relationships/hyperlink" Target="https://reklama.wp.pl/strefa-klienta" TargetMode="Externa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Z31"/>
  <sheetViews>
    <sheetView zoomScaleNormal="100" workbookViewId="0">
      <pane ySplit="8" topLeftCell="A9" activePane="bottomLeft" state="frozen"/>
      <selection pane="bottomLeft" activeCell="A6" sqref="A6"/>
    </sheetView>
  </sheetViews>
  <sheetFormatPr defaultColWidth="11.42578125" defaultRowHeight="12.75"/>
  <cols>
    <col min="1" max="1" width="5.5703125" style="2" customWidth="1"/>
    <col min="2" max="2" width="8.85546875" style="2" customWidth="1"/>
    <col min="3" max="4" width="31.42578125" style="2" customWidth="1"/>
    <col min="5" max="5" width="68.5703125" style="2" customWidth="1"/>
    <col min="6" max="8" width="22.85546875" style="2" customWidth="1"/>
    <col min="9" max="9" width="17.85546875" style="2" customWidth="1"/>
    <col min="10" max="10" width="8.85546875" style="2" customWidth="1"/>
    <col min="11" max="11" width="38.42578125" style="2" customWidth="1"/>
    <col min="12" max="13" width="9.140625" style="2" customWidth="1"/>
    <col min="14" max="15" width="11.42578125" style="2" customWidth="1"/>
    <col min="16" max="16" width="9.140625" style="2" customWidth="1"/>
    <col min="17" max="16384" width="11.42578125" style="2"/>
  </cols>
  <sheetData>
    <row r="1" spans="2:26" ht="12.75" customHeight="1">
      <c r="E1" s="798" t="s">
        <v>542</v>
      </c>
      <c r="F1" s="799" t="str">
        <f>IF('Język - Language'!$B$30="Polski",CONCATENATE("Cennik Reklamowy Wirtualna Polska Media S.A. - obowiązuje od 1.01.2023 r.",CHAR(10),"W celu zasięgnięcia dodatkowych informacji prosimy o kontakt z Biurem Reklamy,",CHAR(10),"reklama@grupawp.pl, tel. (+48) 22 57 63 900; fax (+48) 22 57 63 959"),CONCATENATE("Advertising price list of Wirtualna Polska Media S.A. - valid from January 1, 2023",CHAR(10),"For further information please contact the Advertising Office of WP,",CHAR(10),"reklama@grupawp.pl, phone (+48) 22 57 63 900; fax (+48) 22 57 63 959"))</f>
        <v>Cennik Reklamowy Wirtualna Polska Media S.A. - obowiązuje od 1.01.2023 r.
W celu zasięgnięcia dodatkowych informacji prosimy o kontakt z Biurem Reklamy,
reklama@grupawp.pl, tel. (+48) 22 57 63 900; fax (+48) 22 57 63 959</v>
      </c>
      <c r="G1" s="799"/>
      <c r="H1" s="799"/>
      <c r="I1" s="15"/>
      <c r="K1" s="799"/>
      <c r="L1" s="799"/>
      <c r="M1" s="799"/>
      <c r="N1" s="799"/>
      <c r="O1" s="799"/>
      <c r="P1" s="799"/>
    </row>
    <row r="2" spans="2:26" ht="12.75" customHeight="1">
      <c r="C2" s="94"/>
      <c r="D2" s="15"/>
      <c r="E2" s="798"/>
      <c r="F2" s="799"/>
      <c r="G2" s="799"/>
      <c r="H2" s="799"/>
      <c r="I2" s="15"/>
      <c r="J2" s="135"/>
      <c r="K2" s="799"/>
      <c r="L2" s="799"/>
      <c r="M2" s="799"/>
      <c r="N2" s="799"/>
      <c r="O2" s="799"/>
      <c r="P2" s="799"/>
    </row>
    <row r="3" spans="2:26">
      <c r="D3" s="15"/>
      <c r="E3" s="798"/>
      <c r="F3" s="799"/>
      <c r="G3" s="799"/>
      <c r="H3" s="799"/>
      <c r="I3" s="15"/>
      <c r="J3" s="135"/>
      <c r="K3" s="799"/>
      <c r="L3" s="799"/>
      <c r="M3" s="799"/>
      <c r="N3" s="799"/>
      <c r="O3" s="799"/>
      <c r="P3" s="799"/>
    </row>
    <row r="4" spans="2:26" s="29" customFormat="1" ht="12.75" customHeight="1">
      <c r="B4" s="520" t="str">
        <f>IF('Język - Language'!$B$30="Polski","               Wybór języka","               Language selection")</f>
        <v xml:space="preserve">               Wybór języka</v>
      </c>
      <c r="H4" s="229" t="str">
        <f>IF('Język - Language'!$B$30="Polski","PL","EN")</f>
        <v>PL</v>
      </c>
    </row>
    <row r="5" spans="2:26" ht="12.75" customHeight="1">
      <c r="B5" s="14"/>
    </row>
    <row r="7" spans="2:26" ht="36.200000000000003" customHeight="1">
      <c r="B7" s="48"/>
      <c r="C7" s="73" t="s">
        <v>0</v>
      </c>
      <c r="D7" s="72" t="s">
        <v>1</v>
      </c>
      <c r="E7" s="64"/>
      <c r="F7" s="800"/>
      <c r="G7" s="800"/>
      <c r="H7" s="800"/>
      <c r="I7" s="800"/>
      <c r="K7" s="802"/>
      <c r="L7" s="802"/>
      <c r="M7" s="802"/>
      <c r="N7" s="802"/>
      <c r="O7" s="802"/>
      <c r="P7" s="802"/>
      <c r="Z7" s="87" t="s">
        <v>2</v>
      </c>
    </row>
    <row r="8" spans="2:26" ht="25.5" customHeight="1">
      <c r="B8" s="74"/>
      <c r="C8" s="804" t="str">
        <f>INDEX(Z7:Z8,A30)</f>
        <v>Polski</v>
      </c>
      <c r="D8" s="804"/>
      <c r="E8" s="162"/>
      <c r="F8" s="801"/>
      <c r="G8" s="801"/>
      <c r="H8" s="801"/>
      <c r="I8" s="801"/>
      <c r="K8" s="146"/>
      <c r="L8" s="805"/>
      <c r="M8" s="805"/>
      <c r="N8" s="805"/>
      <c r="O8" s="805"/>
      <c r="P8" s="805"/>
      <c r="Z8" s="87" t="s">
        <v>3</v>
      </c>
    </row>
    <row r="9" spans="2:26" ht="25.35" customHeight="1">
      <c r="B9" s="74"/>
      <c r="C9" s="806"/>
      <c r="D9" s="803"/>
      <c r="E9" s="1"/>
      <c r="F9" s="44"/>
      <c r="G9" s="45"/>
      <c r="H9" s="46"/>
      <c r="I9" s="46"/>
      <c r="K9" s="60"/>
      <c r="L9" s="807"/>
      <c r="M9" s="807"/>
      <c r="N9" s="807"/>
      <c r="O9" s="807"/>
      <c r="P9" s="807"/>
    </row>
    <row r="10" spans="2:26" ht="12.75" customHeight="1">
      <c r="B10" s="74"/>
      <c r="C10" s="147"/>
      <c r="D10" s="1"/>
      <c r="E10" s="1"/>
      <c r="F10" s="44"/>
      <c r="G10" s="45"/>
      <c r="H10" s="46"/>
      <c r="I10" s="46"/>
      <c r="K10" s="60"/>
      <c r="L10" s="148"/>
      <c r="M10" s="148"/>
      <c r="N10" s="148"/>
      <c r="O10" s="148"/>
      <c r="P10" s="148"/>
    </row>
    <row r="11" spans="2:26">
      <c r="B11" s="808"/>
      <c r="C11" s="809"/>
      <c r="D11" s="809"/>
      <c r="E11" s="809"/>
      <c r="F11" s="809"/>
      <c r="G11" s="809"/>
      <c r="H11" s="809"/>
      <c r="I11" s="46"/>
      <c r="K11" s="60"/>
      <c r="L11" s="807"/>
      <c r="M11" s="807"/>
      <c r="N11" s="807"/>
      <c r="O11" s="807"/>
      <c r="P11" s="807"/>
    </row>
    <row r="12" spans="2:26" ht="12.75" customHeight="1">
      <c r="B12" s="809"/>
      <c r="C12" s="809"/>
      <c r="D12" s="809"/>
      <c r="E12" s="809"/>
      <c r="F12" s="809"/>
      <c r="G12" s="809"/>
      <c r="H12" s="809"/>
      <c r="I12" s="46"/>
      <c r="K12" s="61"/>
      <c r="L12" s="810"/>
      <c r="M12" s="810"/>
      <c r="N12" s="810"/>
      <c r="O12" s="810"/>
      <c r="P12" s="810"/>
    </row>
    <row r="13" spans="2:26" ht="12.75" customHeight="1">
      <c r="B13" s="149"/>
      <c r="C13" s="149"/>
      <c r="D13" s="149"/>
      <c r="E13" s="149"/>
      <c r="F13" s="149"/>
      <c r="G13" s="149"/>
      <c r="H13" s="149"/>
      <c r="I13" s="46"/>
      <c r="K13" s="61"/>
      <c r="L13" s="150"/>
      <c r="M13" s="150"/>
      <c r="N13" s="150"/>
      <c r="O13" s="150"/>
      <c r="P13" s="150"/>
    </row>
    <row r="14" spans="2:26" ht="12.75" customHeight="1">
      <c r="B14" s="95"/>
      <c r="C14" s="95"/>
      <c r="D14" s="95"/>
      <c r="E14" s="15"/>
      <c r="F14" s="36"/>
      <c r="G14" s="37"/>
      <c r="H14" s="38"/>
      <c r="I14" s="38"/>
      <c r="K14" s="61"/>
      <c r="L14" s="150"/>
      <c r="M14" s="150"/>
      <c r="N14" s="150"/>
      <c r="O14" s="150"/>
      <c r="P14" s="150"/>
    </row>
    <row r="15" spans="2:26">
      <c r="B15" s="145"/>
      <c r="C15" s="145"/>
      <c r="D15" s="145"/>
      <c r="E15" s="145"/>
      <c r="F15" s="811"/>
      <c r="G15" s="145"/>
      <c r="H15" s="145"/>
      <c r="I15" s="35"/>
      <c r="K15" s="60"/>
      <c r="L15" s="810"/>
      <c r="M15" s="810"/>
      <c r="N15" s="810"/>
      <c r="O15" s="810"/>
      <c r="P15" s="810"/>
    </row>
    <row r="16" spans="2:26" ht="15">
      <c r="B16" s="74"/>
      <c r="C16" s="77"/>
      <c r="D16" s="78"/>
      <c r="E16" s="79"/>
      <c r="F16" s="811"/>
      <c r="G16" s="80"/>
      <c r="H16" s="81"/>
      <c r="I16" s="81"/>
      <c r="K16" s="62"/>
      <c r="L16" s="810"/>
      <c r="M16" s="810"/>
      <c r="N16" s="810"/>
      <c r="O16" s="810"/>
      <c r="P16" s="810"/>
    </row>
    <row r="17" spans="1:16" ht="15">
      <c r="B17" s="803"/>
      <c r="C17" s="803"/>
      <c r="D17" s="803"/>
      <c r="E17" s="803"/>
      <c r="F17" s="803"/>
      <c r="G17" s="803"/>
      <c r="H17" s="803"/>
      <c r="I17" s="82"/>
      <c r="K17" s="146"/>
      <c r="L17" s="802"/>
      <c r="M17" s="802"/>
      <c r="N17" s="802"/>
      <c r="O17" s="802"/>
      <c r="P17" s="802"/>
    </row>
    <row r="18" spans="1:16">
      <c r="B18" s="43"/>
      <c r="C18" s="43"/>
      <c r="D18" s="43"/>
      <c r="E18" s="43"/>
      <c r="F18" s="43"/>
      <c r="G18" s="43"/>
    </row>
    <row r="19" spans="1:16" ht="25.5" customHeight="1">
      <c r="B19" s="811"/>
      <c r="C19" s="145"/>
      <c r="D19" s="145"/>
      <c r="E19" s="145"/>
      <c r="F19" s="145"/>
      <c r="G19" s="145"/>
      <c r="K19" s="76"/>
      <c r="L19" s="813"/>
      <c r="M19" s="813"/>
      <c r="N19" s="813"/>
      <c r="O19" s="813"/>
      <c r="P19" s="813"/>
    </row>
    <row r="20" spans="1:16" ht="25.5" customHeight="1">
      <c r="B20" s="811"/>
      <c r="C20" s="83"/>
      <c r="D20" s="84"/>
      <c r="E20" s="83"/>
      <c r="F20" s="85"/>
      <c r="G20" s="86"/>
      <c r="K20" s="74"/>
      <c r="L20" s="814"/>
      <c r="M20" s="814"/>
      <c r="N20" s="814"/>
      <c r="O20" s="814"/>
      <c r="P20" s="814"/>
    </row>
    <row r="21" spans="1:16" ht="25.5" customHeight="1">
      <c r="B21" s="811"/>
      <c r="C21" s="83"/>
      <c r="D21" s="84"/>
      <c r="E21" s="83"/>
      <c r="F21" s="85"/>
      <c r="G21" s="86"/>
      <c r="K21" s="74"/>
      <c r="L21" s="815"/>
      <c r="M21" s="815"/>
      <c r="N21" s="815"/>
      <c r="O21" s="815"/>
      <c r="P21" s="815"/>
    </row>
    <row r="22" spans="1:16" ht="25.5" customHeight="1">
      <c r="B22" s="811"/>
      <c r="C22" s="83"/>
      <c r="D22" s="84"/>
      <c r="E22" s="83"/>
      <c r="F22" s="85"/>
      <c r="G22" s="86"/>
      <c r="K22" s="74"/>
      <c r="L22" s="812"/>
      <c r="M22" s="812"/>
      <c r="N22" s="812"/>
      <c r="O22" s="812"/>
      <c r="P22" s="812"/>
    </row>
    <row r="23" spans="1:16" ht="25.5" customHeight="1">
      <c r="B23" s="811"/>
      <c r="C23" s="83"/>
      <c r="D23" s="84"/>
      <c r="E23" s="83"/>
      <c r="F23" s="85"/>
      <c r="G23" s="86"/>
      <c r="K23" s="74"/>
      <c r="L23" s="812"/>
      <c r="M23" s="812"/>
      <c r="N23" s="812"/>
      <c r="O23" s="812"/>
      <c r="P23" s="812"/>
    </row>
    <row r="24" spans="1:16" ht="25.5" customHeight="1">
      <c r="B24" s="811"/>
      <c r="C24" s="83"/>
      <c r="D24" s="84"/>
      <c r="E24" s="83"/>
      <c r="F24" s="85"/>
      <c r="G24" s="86"/>
      <c r="K24" s="74"/>
      <c r="L24" s="812"/>
      <c r="M24" s="812"/>
      <c r="N24" s="812"/>
      <c r="O24" s="812"/>
      <c r="P24" s="812"/>
    </row>
    <row r="25" spans="1:16" ht="25.5" customHeight="1">
      <c r="B25" s="811"/>
      <c r="C25" s="83"/>
      <c r="D25" s="84"/>
      <c r="E25" s="83"/>
      <c r="F25" s="86"/>
      <c r="G25" s="86"/>
      <c r="K25" s="74"/>
      <c r="L25" s="812"/>
      <c r="M25" s="812"/>
      <c r="N25" s="812"/>
      <c r="O25" s="812"/>
      <c r="P25" s="812"/>
    </row>
    <row r="26" spans="1:16" ht="25.5" customHeight="1">
      <c r="B26" s="42"/>
      <c r="K26" s="74"/>
      <c r="L26" s="812"/>
      <c r="M26" s="812"/>
      <c r="N26" s="812"/>
      <c r="O26" s="812"/>
      <c r="P26" s="812"/>
    </row>
    <row r="27" spans="1:16" ht="25.5" customHeight="1">
      <c r="B27" s="3"/>
      <c r="C27" s="34"/>
      <c r="D27" s="34"/>
      <c r="E27" s="34"/>
      <c r="F27" s="34"/>
      <c r="G27" s="34"/>
      <c r="K27" s="74"/>
      <c r="L27" s="812"/>
      <c r="M27" s="812"/>
      <c r="N27" s="812"/>
      <c r="O27" s="812"/>
      <c r="P27" s="812"/>
    </row>
    <row r="28" spans="1:16" ht="25.5" customHeight="1">
      <c r="K28" s="75"/>
      <c r="L28" s="812"/>
      <c r="M28" s="812"/>
      <c r="N28" s="812"/>
      <c r="O28" s="812"/>
      <c r="P28" s="812"/>
    </row>
    <row r="29" spans="1:16" ht="25.5" customHeight="1">
      <c r="K29" s="75"/>
      <c r="L29" s="812"/>
      <c r="M29" s="812"/>
      <c r="N29" s="812"/>
      <c r="O29" s="812"/>
      <c r="P29" s="812"/>
    </row>
    <row r="30" spans="1:16" ht="25.5" customHeight="1">
      <c r="A30" s="87">
        <v>1</v>
      </c>
      <c r="B30" s="87" t="str">
        <f>INDEX(Z7:Z8,A30)</f>
        <v>Polski</v>
      </c>
      <c r="K30" s="3"/>
      <c r="L30" s="3"/>
    </row>
    <row r="31" spans="1:16" ht="26.25" customHeight="1"/>
  </sheetData>
  <mergeCells count="33">
    <mergeCell ref="L26:P26"/>
    <mergeCell ref="L27:P27"/>
    <mergeCell ref="L28:P28"/>
    <mergeCell ref="L29:P29"/>
    <mergeCell ref="B19:B25"/>
    <mergeCell ref="L19:P19"/>
    <mergeCell ref="L20:P20"/>
    <mergeCell ref="L21:P21"/>
    <mergeCell ref="L22:P22"/>
    <mergeCell ref="L23:P23"/>
    <mergeCell ref="L24:P24"/>
    <mergeCell ref="L25:P25"/>
    <mergeCell ref="B17:H17"/>
    <mergeCell ref="L17:P17"/>
    <mergeCell ref="C8:D8"/>
    <mergeCell ref="L8:P8"/>
    <mergeCell ref="C9:D9"/>
    <mergeCell ref="L9:P9"/>
    <mergeCell ref="B11:H11"/>
    <mergeCell ref="L11:P11"/>
    <mergeCell ref="B12:H12"/>
    <mergeCell ref="L12:P12"/>
    <mergeCell ref="F15:F16"/>
    <mergeCell ref="L15:P15"/>
    <mergeCell ref="L16:P16"/>
    <mergeCell ref="E1:E3"/>
    <mergeCell ref="K1:P3"/>
    <mergeCell ref="F7:F8"/>
    <mergeCell ref="G7:G8"/>
    <mergeCell ref="H7:H8"/>
    <mergeCell ref="I7:I8"/>
    <mergeCell ref="K7:P7"/>
    <mergeCell ref="F1:H3"/>
  </mergeCells>
  <hyperlinks>
    <hyperlink ref="E1:E3" location="'Kampanie zeroemisyjne WP'!A1" display="'Kampanie zeroemisyjne WP'!A1" xr:uid="{67F1D0D6-800C-4894-9D74-642D4E371C81}"/>
  </hyperlinks>
  <pageMargins left="0.7" right="0.7" top="0.75" bottom="0.75" header="0.3" footer="0.3"/>
  <pageSetup paperSize="256" scale="6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2</xdr:col>
                    <xdr:colOff>19050</xdr:colOff>
                    <xdr:row>7</xdr:row>
                    <xdr:rowOff>9525</xdr:rowOff>
                  </from>
                  <to>
                    <xdr:col>3</xdr:col>
                    <xdr:colOff>2038350</xdr:colOff>
                    <xdr:row>7</xdr:row>
                    <xdr:rowOff>295275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59999389629810485"/>
    <pageSetUpPr fitToPage="1"/>
  </sheetPr>
  <dimension ref="B1:S22"/>
  <sheetViews>
    <sheetView zoomScaleNormal="100" workbookViewId="0">
      <pane ySplit="4" topLeftCell="A5" activePane="bottomLeft" state="frozen"/>
      <selection pane="bottomLeft" activeCell="A7" sqref="A7"/>
    </sheetView>
  </sheetViews>
  <sheetFormatPr defaultColWidth="25" defaultRowHeight="12.75"/>
  <cols>
    <col min="1" max="1" width="2.85546875" style="2" customWidth="1"/>
    <col min="2" max="2" width="5.7109375" style="2" customWidth="1"/>
    <col min="3" max="3" width="40.5703125" style="2" customWidth="1"/>
    <col min="4" max="4" width="33" style="2" customWidth="1"/>
    <col min="5" max="5" width="50" style="2" customWidth="1"/>
    <col min="6" max="6" width="21.85546875" style="2" customWidth="1"/>
    <col min="7" max="10" width="17.140625" style="2" customWidth="1"/>
    <col min="11" max="11" width="14.42578125" style="2" customWidth="1"/>
    <col min="12" max="16384" width="25" style="2"/>
  </cols>
  <sheetData>
    <row r="1" spans="2:19" ht="12.75" customHeight="1">
      <c r="E1" s="799" t="str">
        <f>IF('Język - Language'!$B$30="Polski",CONCATENATE("Cennik Reklamowy Wirtualna Polska Media S.A. - obowiązuje od 1.01.2023 r.",CHAR(10),"W celu zasięgnięcia dodatkowych informacji prosimy o kontakt z Biurem Reklamy,",CHAR(10),"reklama@grupawp.pl, tel. (+48) 22 57 63 900; fax (+48) 22 57 63 959"),CONCATENATE("Advertising price list of Wirtualna Polska Media S.A. - valid from January 1, 2023",CHAR(10),"For further information please contact the Advertising Office of WP,",CHAR(10),"reklama@grupawp.pl, phone (+48) 22 57 63 900; fax (+48) 22 57 63 959"))</f>
        <v>Cennik Reklamowy Wirtualna Polska Media S.A. - obowiązuje od 1.01.2023 r.
W celu zasięgnięcia dodatkowych informacji prosimy o kontakt z Biurem Reklamy,
reklama@grupawp.pl, tel. (+48) 22 57 63 900; fax (+48) 22 57 63 959</v>
      </c>
      <c r="F1" s="799"/>
      <c r="G1" s="799"/>
      <c r="H1" s="135"/>
      <c r="I1" s="135"/>
      <c r="J1" s="135"/>
    </row>
    <row r="2" spans="2:19" ht="12.75" customHeight="1">
      <c r="D2" s="135"/>
      <c r="E2" s="799"/>
      <c r="F2" s="799"/>
      <c r="G2" s="799"/>
      <c r="H2" s="135"/>
      <c r="I2" s="135"/>
      <c r="J2" s="135"/>
    </row>
    <row r="3" spans="2:19" ht="12.75" customHeight="1">
      <c r="D3" s="135"/>
      <c r="E3" s="799"/>
      <c r="F3" s="799"/>
      <c r="G3" s="799"/>
      <c r="H3" s="135"/>
      <c r="I3" s="135"/>
      <c r="J3" s="135"/>
    </row>
    <row r="4" spans="2:19" s="29" customFormat="1" ht="12.75" customHeight="1">
      <c r="C4" s="520" t="str">
        <f>IF('Język - Language'!$B$30="Polski","               E-commerce","               E-commerce")</f>
        <v xml:space="preserve">               E-commerce</v>
      </c>
      <c r="H4" s="227"/>
      <c r="J4" s="134" t="str">
        <f>IF('Język - Language'!$B$30="Polski","PL","EN")</f>
        <v>PL</v>
      </c>
    </row>
    <row r="5" spans="2:19" ht="12.75" customHeight="1"/>
    <row r="6" spans="2:19" ht="12.75" customHeight="1"/>
    <row r="7" spans="2:19" ht="25.5" customHeight="1">
      <c r="C7" s="538" t="s">
        <v>91</v>
      </c>
      <c r="D7" s="580" t="s">
        <v>318</v>
      </c>
      <c r="E7" s="538" t="s">
        <v>319</v>
      </c>
      <c r="F7" s="538" t="s">
        <v>108</v>
      </c>
      <c r="G7" s="666" t="s">
        <v>320</v>
      </c>
      <c r="H7" s="149"/>
      <c r="I7" s="149"/>
      <c r="J7" s="149"/>
      <c r="K7" s="149"/>
      <c r="L7" s="46"/>
      <c r="N7" s="61"/>
      <c r="O7" s="150"/>
      <c r="P7" s="150"/>
      <c r="Q7" s="150"/>
      <c r="R7" s="150"/>
      <c r="S7" s="150"/>
    </row>
    <row r="8" spans="2:19" ht="25.5" customHeight="1">
      <c r="B8" s="1102" t="s">
        <v>98</v>
      </c>
      <c r="C8" s="1111" t="s">
        <v>321</v>
      </c>
      <c r="D8" s="1113" t="s">
        <v>322</v>
      </c>
      <c r="E8" s="693" t="s">
        <v>323</v>
      </c>
      <c r="F8" s="445" t="s">
        <v>10</v>
      </c>
      <c r="G8" s="696" t="s">
        <v>324</v>
      </c>
    </row>
    <row r="9" spans="2:19" ht="25.5" customHeight="1">
      <c r="B9" s="1102"/>
      <c r="C9" s="1111"/>
      <c r="D9" s="1113"/>
      <c r="E9" s="693" t="s">
        <v>325</v>
      </c>
      <c r="F9" s="383" t="s">
        <v>13</v>
      </c>
      <c r="G9" s="696" t="s">
        <v>324</v>
      </c>
    </row>
    <row r="10" spans="2:19" ht="25.5" customHeight="1">
      <c r="B10" s="1102"/>
      <c r="C10" s="1114"/>
      <c r="D10" s="1113"/>
      <c r="E10" s="693" t="s">
        <v>326</v>
      </c>
      <c r="F10" s="445" t="s">
        <v>7</v>
      </c>
      <c r="G10" s="696" t="s">
        <v>324</v>
      </c>
    </row>
    <row r="11" spans="2:19" ht="25.5" customHeight="1">
      <c r="B11" s="1102"/>
      <c r="C11" s="602" t="s">
        <v>327</v>
      </c>
      <c r="D11" s="1113"/>
      <c r="E11" s="695" t="s">
        <v>328</v>
      </c>
      <c r="F11" s="445" t="s">
        <v>10</v>
      </c>
      <c r="G11" s="697" t="s">
        <v>324</v>
      </c>
    </row>
    <row r="12" spans="2:19" ht="25.5" customHeight="1">
      <c r="B12" s="1102"/>
      <c r="C12" s="678" t="s">
        <v>161</v>
      </c>
      <c r="D12" s="1115"/>
      <c r="E12" s="736" t="s">
        <v>328</v>
      </c>
      <c r="F12" s="323" t="s">
        <v>10</v>
      </c>
      <c r="G12" s="697" t="s">
        <v>324</v>
      </c>
    </row>
    <row r="13" spans="2:19" ht="25.5" customHeight="1">
      <c r="B13" s="1102"/>
      <c r="C13" s="662" t="s">
        <v>329</v>
      </c>
      <c r="D13" s="1113" t="s">
        <v>330</v>
      </c>
      <c r="E13" s="732" t="s">
        <v>331</v>
      </c>
      <c r="F13" s="691" t="s">
        <v>332</v>
      </c>
      <c r="G13" s="745" t="s">
        <v>333</v>
      </c>
    </row>
    <row r="14" spans="2:19" ht="25.5" customHeight="1">
      <c r="B14" s="1102"/>
      <c r="C14" s="586" t="s">
        <v>334</v>
      </c>
      <c r="D14" s="1113"/>
      <c r="E14" s="733" t="s">
        <v>335</v>
      </c>
      <c r="F14" s="445" t="s">
        <v>332</v>
      </c>
      <c r="G14" s="746" t="s">
        <v>336</v>
      </c>
    </row>
    <row r="15" spans="2:19" ht="25.5" customHeight="1">
      <c r="B15" s="1102"/>
      <c r="C15" s="615" t="s">
        <v>334</v>
      </c>
      <c r="D15" s="1115"/>
      <c r="E15" s="508" t="s">
        <v>337</v>
      </c>
      <c r="F15" s="323" t="s">
        <v>332</v>
      </c>
      <c r="G15" s="747" t="s">
        <v>338</v>
      </c>
    </row>
    <row r="16" spans="2:19" ht="25.5" customHeight="1">
      <c r="B16" s="1102"/>
      <c r="C16" s="662" t="s">
        <v>339</v>
      </c>
      <c r="D16" s="734" t="s">
        <v>340</v>
      </c>
      <c r="E16" s="694" t="s">
        <v>141</v>
      </c>
      <c r="F16" s="691" t="s">
        <v>7</v>
      </c>
      <c r="G16" s="748" t="s">
        <v>341</v>
      </c>
    </row>
    <row r="17" spans="2:7" ht="25.5" customHeight="1">
      <c r="B17" s="1102"/>
      <c r="C17" s="1111" t="s">
        <v>342</v>
      </c>
      <c r="D17" s="1113" t="s">
        <v>343</v>
      </c>
      <c r="E17" s="737" t="s">
        <v>141</v>
      </c>
      <c r="F17" s="445" t="s">
        <v>7</v>
      </c>
      <c r="G17" s="749" t="s">
        <v>344</v>
      </c>
    </row>
    <row r="18" spans="2:7" ht="25.5" customHeight="1">
      <c r="B18" s="1102"/>
      <c r="C18" s="1114"/>
      <c r="D18" s="1110"/>
      <c r="E18" s="724" t="s">
        <v>141</v>
      </c>
      <c r="F18" s="445" t="s">
        <v>519</v>
      </c>
      <c r="G18" s="749" t="s">
        <v>345</v>
      </c>
    </row>
    <row r="19" spans="2:7" ht="25.5" customHeight="1">
      <c r="B19" s="1102"/>
      <c r="C19" s="1111" t="s">
        <v>346</v>
      </c>
      <c r="D19" s="1109" t="s">
        <v>347</v>
      </c>
      <c r="E19" s="737" t="s">
        <v>348</v>
      </c>
      <c r="F19" s="677" t="s">
        <v>7</v>
      </c>
      <c r="G19" s="750" t="s">
        <v>349</v>
      </c>
    </row>
    <row r="20" spans="2:7" ht="25.5" customHeight="1">
      <c r="B20" s="1102"/>
      <c r="C20" s="1111"/>
      <c r="D20" s="1110"/>
      <c r="E20" s="724" t="s">
        <v>350</v>
      </c>
      <c r="F20" s="445" t="s">
        <v>7</v>
      </c>
      <c r="G20" s="749" t="s">
        <v>351</v>
      </c>
    </row>
    <row r="21" spans="2:7" ht="25.5" customHeight="1">
      <c r="B21" s="1102"/>
      <c r="C21" s="1111"/>
      <c r="D21" s="735" t="s">
        <v>352</v>
      </c>
      <c r="E21" s="695" t="s">
        <v>141</v>
      </c>
      <c r="F21" s="383" t="s">
        <v>353</v>
      </c>
      <c r="G21" s="751" t="s">
        <v>354</v>
      </c>
    </row>
    <row r="22" spans="2:7" ht="25.5" customHeight="1">
      <c r="B22" s="1102"/>
      <c r="C22" s="1112"/>
      <c r="D22" s="692" t="s">
        <v>355</v>
      </c>
      <c r="E22" s="507" t="s">
        <v>141</v>
      </c>
      <c r="F22" s="323" t="s">
        <v>353</v>
      </c>
      <c r="G22" s="752" t="s">
        <v>354</v>
      </c>
    </row>
  </sheetData>
  <mergeCells count="9">
    <mergeCell ref="B8:B22"/>
    <mergeCell ref="D19:D20"/>
    <mergeCell ref="C19:C22"/>
    <mergeCell ref="E1:G3"/>
    <mergeCell ref="D17:D18"/>
    <mergeCell ref="C17:C18"/>
    <mergeCell ref="D8:D12"/>
    <mergeCell ref="D13:D15"/>
    <mergeCell ref="C8:C10"/>
  </mergeCells>
  <hyperlinks>
    <hyperlink ref="G11" location="'Multiscreen FF - pozostałe'!C12" display="SPRAWDŹ" xr:uid="{00000000-0004-0000-0900-000000000000}"/>
    <hyperlink ref="G12" location="'Multiscreen FF - pozostałe'!B34" display="SPRAWDŹ" xr:uid="{00000000-0004-0000-0900-000001000000}"/>
    <hyperlink ref="G8" location="'WP.PL Strona Główna - Flat Fee'!C15" display="SPRAWDŹ" xr:uid="{00000000-0004-0000-0900-000002000000}"/>
    <hyperlink ref="G9" location="'WP.PL Strona Główna - Flat Fee'!C21" display="SPRAWDŹ" xr:uid="{00000000-0004-0000-0900-000003000000}"/>
    <hyperlink ref="G10" location="'WP.PL Strona Główna - Flat Fee'!C27" display="SPRAWDŹ" xr:uid="{00000000-0004-0000-0900-000004000000}"/>
  </hyperlinks>
  <pageMargins left="0.7" right="0.7" top="0.75" bottom="0.75" header="0.3" footer="0.3"/>
  <pageSetup paperSize="256" scale="68"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59999389629810485"/>
    <pageSetUpPr fitToPage="1"/>
  </sheetPr>
  <dimension ref="B1:AC36"/>
  <sheetViews>
    <sheetView zoomScaleNormal="100" workbookViewId="0">
      <pane ySplit="4" topLeftCell="A5" activePane="bottomLeft" state="frozen"/>
      <selection pane="bottomLeft" activeCell="A7" sqref="A7"/>
    </sheetView>
  </sheetViews>
  <sheetFormatPr defaultColWidth="25" defaultRowHeight="12.75"/>
  <cols>
    <col min="1" max="1" width="2.85546875" style="2" customWidth="1"/>
    <col min="2" max="2" width="5.7109375" style="2" customWidth="1"/>
    <col min="3" max="3" width="35.7109375" style="2" customWidth="1"/>
    <col min="4" max="4" width="21.42578125" style="2" customWidth="1"/>
    <col min="5" max="16" width="15.7109375" style="2" customWidth="1"/>
    <col min="17" max="20" width="21.42578125" style="2" customWidth="1"/>
    <col min="21" max="23" width="35.7109375" style="2" customWidth="1"/>
    <col min="24" max="16384" width="25" style="2"/>
  </cols>
  <sheetData>
    <row r="1" spans="2:29" ht="12.75" customHeight="1">
      <c r="G1" s="798" t="s">
        <v>542</v>
      </c>
      <c r="H1" s="798"/>
      <c r="I1" s="798"/>
      <c r="J1" s="798"/>
      <c r="K1" s="135"/>
      <c r="L1" s="799" t="str">
        <f>IF('Język - Language'!$B$30="Polski",CONCATENATE("Cennik Reklamowy Wirtualna Polska Media S.A. - obowiązuje od 1.01.2023 r.",CHAR(10),"W celu zasięgnięcia dodatkowych informacji prosimy o kontakt z Biurem Reklamy,",CHAR(10),"reklama@grupawp.pl, tel. (+48) 22 57 63 900; fax (+48) 22 57 63 959"),CONCATENATE("Advertising price list of Wirtualna Polska Media S.A. - valid from January 1, 2023",CHAR(10),"For further information please contact the Advertising Office of WP,",CHAR(10),"reklama@grupawp.pl, phone (+48) 22 57 63 900; fax (+48) 22 57 63 959"))</f>
        <v>Cennik Reklamowy Wirtualna Polska Media S.A. - obowiązuje od 1.01.2023 r.
W celu zasięgnięcia dodatkowych informacji prosimy o kontakt z Biurem Reklamy,
reklama@grupawp.pl, tel. (+48) 22 57 63 900; fax (+48) 22 57 63 959</v>
      </c>
      <c r="M1" s="799"/>
      <c r="N1" s="799"/>
      <c r="O1" s="799"/>
      <c r="P1" s="799"/>
      <c r="S1" s="135"/>
      <c r="T1" s="135"/>
      <c r="U1" s="135"/>
    </row>
    <row r="2" spans="2:29" ht="12.75" customHeight="1">
      <c r="G2" s="798"/>
      <c r="H2" s="798"/>
      <c r="I2" s="798"/>
      <c r="J2" s="798"/>
      <c r="K2" s="135"/>
      <c r="L2" s="799"/>
      <c r="M2" s="799"/>
      <c r="N2" s="799"/>
      <c r="O2" s="799"/>
      <c r="P2" s="799"/>
      <c r="Q2" s="135"/>
      <c r="R2" s="135"/>
      <c r="S2" s="135"/>
      <c r="T2" s="135"/>
      <c r="U2" s="135"/>
    </row>
    <row r="3" spans="2:29" ht="12.75" customHeight="1">
      <c r="G3" s="798"/>
      <c r="H3" s="798"/>
      <c r="I3" s="798"/>
      <c r="J3" s="798"/>
      <c r="K3" s="135"/>
      <c r="L3" s="799"/>
      <c r="M3" s="799"/>
      <c r="N3" s="799"/>
      <c r="O3" s="799"/>
      <c r="P3" s="799"/>
      <c r="Q3" s="135"/>
      <c r="R3" s="135"/>
      <c r="S3" s="135"/>
      <c r="T3" s="135"/>
      <c r="U3" s="135"/>
    </row>
    <row r="4" spans="2:29" s="29" customFormat="1" ht="12.75" customHeight="1">
      <c r="C4" s="520" t="str">
        <f>IF('Język - Language'!$B$30="Polski","               Rich Media","               Rich Media")</f>
        <v xml:space="preserve">               Rich Media</v>
      </c>
      <c r="D4" s="520"/>
      <c r="E4" s="520"/>
      <c r="F4" s="520"/>
      <c r="G4" s="520"/>
      <c r="H4" s="520"/>
      <c r="I4" s="520"/>
      <c r="P4" s="134" t="str">
        <f>IF('Język - Language'!$B$30="Polski","PL","EN")</f>
        <v>PL</v>
      </c>
      <c r="S4" s="227"/>
    </row>
    <row r="5" spans="2:29" ht="12.75" customHeight="1"/>
    <row r="6" spans="2:29" ht="12.75" customHeight="1"/>
    <row r="7" spans="2:29" ht="25.5" customHeight="1">
      <c r="C7" s="1149" t="s">
        <v>91</v>
      </c>
      <c r="D7" s="1149" t="s">
        <v>318</v>
      </c>
      <c r="E7" s="1149"/>
      <c r="F7" s="1149"/>
      <c r="G7" s="1149"/>
      <c r="H7" s="1027" t="s">
        <v>356</v>
      </c>
      <c r="I7" s="1027" t="s">
        <v>108</v>
      </c>
      <c r="J7" s="1027"/>
      <c r="K7" s="859" t="s">
        <v>69</v>
      </c>
      <c r="L7" s="859"/>
      <c r="M7" s="859"/>
      <c r="N7" s="859"/>
      <c r="O7" s="859"/>
      <c r="P7" s="860"/>
      <c r="Q7" s="149"/>
      <c r="R7" s="149"/>
      <c r="S7" s="149"/>
      <c r="T7" s="149"/>
      <c r="U7" s="149"/>
      <c r="V7" s="46"/>
      <c r="X7" s="61"/>
      <c r="Y7" s="150"/>
      <c r="Z7" s="150"/>
      <c r="AA7" s="150"/>
      <c r="AB7" s="150"/>
      <c r="AC7" s="150"/>
    </row>
    <row r="8" spans="2:29" ht="15" customHeight="1">
      <c r="C8" s="1150"/>
      <c r="D8" s="1150"/>
      <c r="E8" s="1150"/>
      <c r="F8" s="1150"/>
      <c r="G8" s="1150"/>
      <c r="H8" s="1138"/>
      <c r="I8" s="1138"/>
      <c r="J8" s="1138"/>
      <c r="K8" s="1153" t="str">
        <f>IF('Język - Language'!$B$30="Polski","styczeń-wrzesień","Jan-Sep")</f>
        <v>styczeń-wrzesień</v>
      </c>
      <c r="L8" s="1153"/>
      <c r="M8" s="1153"/>
      <c r="N8" s="938" t="str">
        <f>IF('Język - Language'!$B$30="Polski","październik-grudzień","Oct-Dec")</f>
        <v>październik-grudzień</v>
      </c>
      <c r="O8" s="938"/>
      <c r="P8" s="939"/>
    </row>
    <row r="9" spans="2:29" ht="25.5" customHeight="1">
      <c r="B9" s="1102" t="s">
        <v>304</v>
      </c>
      <c r="C9" s="1151" t="s">
        <v>321</v>
      </c>
      <c r="D9" s="1154" t="s">
        <v>357</v>
      </c>
      <c r="E9" s="1155"/>
      <c r="F9" s="1155"/>
      <c r="G9" s="1156"/>
      <c r="H9" s="730" t="s">
        <v>307</v>
      </c>
      <c r="I9" s="1139" t="s">
        <v>358</v>
      </c>
      <c r="J9" s="1140"/>
      <c r="K9" s="1135" t="s">
        <v>359</v>
      </c>
      <c r="L9" s="1136"/>
      <c r="M9" s="1137"/>
      <c r="N9" s="1163" t="s">
        <v>360</v>
      </c>
      <c r="O9" s="1164"/>
      <c r="P9" s="1165"/>
    </row>
    <row r="10" spans="2:29" ht="25.5" customHeight="1">
      <c r="B10" s="1102"/>
      <c r="C10" s="1111"/>
      <c r="D10" s="1132" t="s">
        <v>361</v>
      </c>
      <c r="E10" s="1133"/>
      <c r="F10" s="1133"/>
      <c r="G10" s="1134"/>
      <c r="H10" s="139" t="s">
        <v>362</v>
      </c>
      <c r="I10" s="1157" t="s">
        <v>33</v>
      </c>
      <c r="J10" s="1158"/>
      <c r="K10" s="1144" t="s">
        <v>363</v>
      </c>
      <c r="L10" s="1145"/>
      <c r="M10" s="1146"/>
      <c r="N10" s="1119" t="s">
        <v>364</v>
      </c>
      <c r="O10" s="1120"/>
      <c r="P10" s="1121"/>
    </row>
    <row r="11" spans="2:29" ht="25.5" customHeight="1">
      <c r="B11" s="1102"/>
      <c r="C11" s="1111"/>
      <c r="D11" s="1132" t="s">
        <v>365</v>
      </c>
      <c r="E11" s="1133"/>
      <c r="F11" s="1133"/>
      <c r="G11" s="1134"/>
      <c r="H11" s="139" t="s">
        <v>362</v>
      </c>
      <c r="I11" s="1157" t="s">
        <v>33</v>
      </c>
      <c r="J11" s="1158"/>
      <c r="K11" s="1119" t="s">
        <v>366</v>
      </c>
      <c r="L11" s="1120"/>
      <c r="M11" s="1121"/>
      <c r="N11" s="1119" t="s">
        <v>367</v>
      </c>
      <c r="O11" s="1120"/>
      <c r="P11" s="1121"/>
    </row>
    <row r="12" spans="2:29" ht="25.5" customHeight="1">
      <c r="B12" s="1102"/>
      <c r="C12" s="1112"/>
      <c r="D12" s="874" t="s">
        <v>368</v>
      </c>
      <c r="E12" s="875"/>
      <c r="F12" s="875"/>
      <c r="G12" s="876"/>
      <c r="H12" s="627" t="s">
        <v>362</v>
      </c>
      <c r="I12" s="1128" t="s">
        <v>33</v>
      </c>
      <c r="J12" s="1129"/>
      <c r="K12" s="1141" t="s">
        <v>369</v>
      </c>
      <c r="L12" s="1142"/>
      <c r="M12" s="1143"/>
      <c r="N12" s="1141" t="s">
        <v>370</v>
      </c>
      <c r="O12" s="1142"/>
      <c r="P12" s="1143"/>
    </row>
    <row r="13" spans="2:29" ht="25.5" customHeight="1">
      <c r="B13" s="1102"/>
      <c r="C13" s="1111" t="s">
        <v>161</v>
      </c>
      <c r="D13" s="1160" t="s">
        <v>357</v>
      </c>
      <c r="E13" s="1161"/>
      <c r="F13" s="1161"/>
      <c r="G13" s="1162"/>
      <c r="H13" s="729" t="s">
        <v>307</v>
      </c>
      <c r="I13" s="1130" t="s">
        <v>358</v>
      </c>
      <c r="J13" s="1131"/>
      <c r="K13" s="1144" t="s">
        <v>371</v>
      </c>
      <c r="L13" s="1145"/>
      <c r="M13" s="1146"/>
      <c r="N13" s="1144" t="s">
        <v>372</v>
      </c>
      <c r="O13" s="1145"/>
      <c r="P13" s="1146"/>
    </row>
    <row r="14" spans="2:29" ht="25.5" customHeight="1">
      <c r="B14" s="1102"/>
      <c r="C14" s="1112"/>
      <c r="D14" s="874"/>
      <c r="E14" s="875"/>
      <c r="F14" s="875"/>
      <c r="G14" s="876"/>
      <c r="H14" s="627" t="s">
        <v>307</v>
      </c>
      <c r="I14" s="1122" t="s">
        <v>373</v>
      </c>
      <c r="J14" s="1123"/>
      <c r="K14" s="1141" t="s">
        <v>374</v>
      </c>
      <c r="L14" s="1142"/>
      <c r="M14" s="1142"/>
      <c r="N14" s="1142"/>
      <c r="O14" s="1142"/>
      <c r="P14" s="1143"/>
    </row>
    <row r="15" spans="2:29" ht="25.5" customHeight="1">
      <c r="B15" s="1102"/>
      <c r="C15" s="1111" t="s">
        <v>375</v>
      </c>
      <c r="D15" s="1116" t="s">
        <v>357</v>
      </c>
      <c r="E15" s="1117"/>
      <c r="F15" s="1117"/>
      <c r="G15" s="1118"/>
      <c r="H15" s="731" t="s">
        <v>307</v>
      </c>
      <c r="I15" s="1124" t="s">
        <v>373</v>
      </c>
      <c r="J15" s="1125"/>
      <c r="K15" s="1144" t="s">
        <v>376</v>
      </c>
      <c r="L15" s="1145"/>
      <c r="M15" s="1145"/>
      <c r="N15" s="1145"/>
      <c r="O15" s="1145"/>
      <c r="P15" s="1146"/>
    </row>
    <row r="16" spans="2:29" ht="25.5" customHeight="1">
      <c r="B16" s="1102"/>
      <c r="C16" s="1111"/>
      <c r="D16" s="890" t="s">
        <v>377</v>
      </c>
      <c r="E16" s="891"/>
      <c r="F16" s="891"/>
      <c r="G16" s="892"/>
      <c r="H16" s="100" t="s">
        <v>306</v>
      </c>
      <c r="I16" s="1126"/>
      <c r="J16" s="1127"/>
      <c r="K16" s="1119" t="s">
        <v>378</v>
      </c>
      <c r="L16" s="1120"/>
      <c r="M16" s="1120"/>
      <c r="N16" s="1120"/>
      <c r="O16" s="1120"/>
      <c r="P16" s="1121"/>
    </row>
    <row r="17" spans="2:16" ht="25.5" customHeight="1">
      <c r="B17" s="1102"/>
      <c r="C17" s="1111"/>
      <c r="D17" s="1132" t="s">
        <v>379</v>
      </c>
      <c r="E17" s="1133"/>
      <c r="F17" s="1133"/>
      <c r="G17" s="1134"/>
      <c r="H17" s="139" t="s">
        <v>306</v>
      </c>
      <c r="I17" s="1126"/>
      <c r="J17" s="1127"/>
      <c r="K17" s="1119" t="s">
        <v>380</v>
      </c>
      <c r="L17" s="1120"/>
      <c r="M17" s="1120"/>
      <c r="N17" s="1120"/>
      <c r="O17" s="1120"/>
      <c r="P17" s="1121"/>
    </row>
    <row r="18" spans="2:16" ht="25.5" customHeight="1">
      <c r="B18" s="1102"/>
      <c r="C18" s="1112"/>
      <c r="D18" s="874" t="s">
        <v>381</v>
      </c>
      <c r="E18" s="875"/>
      <c r="F18" s="875"/>
      <c r="G18" s="876"/>
      <c r="H18" s="627" t="s">
        <v>306</v>
      </c>
      <c r="I18" s="1128"/>
      <c r="J18" s="1129"/>
      <c r="K18" s="1141" t="s">
        <v>382</v>
      </c>
      <c r="L18" s="1142"/>
      <c r="M18" s="1142"/>
      <c r="N18" s="1142"/>
      <c r="O18" s="1142"/>
      <c r="P18" s="1143"/>
    </row>
    <row r="19" spans="2:16" ht="25.5" customHeight="1">
      <c r="B19" s="1102"/>
      <c r="C19" s="1152" t="s">
        <v>383</v>
      </c>
      <c r="D19" s="1116" t="s">
        <v>377</v>
      </c>
      <c r="E19" s="1117"/>
      <c r="F19" s="1117"/>
      <c r="G19" s="1118"/>
      <c r="H19" s="731" t="s">
        <v>306</v>
      </c>
      <c r="I19" s="1124" t="s">
        <v>373</v>
      </c>
      <c r="J19" s="1125"/>
      <c r="K19" s="1144" t="s">
        <v>384</v>
      </c>
      <c r="L19" s="1145"/>
      <c r="M19" s="1145"/>
      <c r="N19" s="1145"/>
      <c r="O19" s="1145"/>
      <c r="P19" s="1146"/>
    </row>
    <row r="20" spans="2:16" ht="25.5" customHeight="1">
      <c r="B20" s="1102"/>
      <c r="C20" s="1111"/>
      <c r="D20" s="1132" t="s">
        <v>381</v>
      </c>
      <c r="E20" s="1133"/>
      <c r="F20" s="1133"/>
      <c r="G20" s="1134"/>
      <c r="H20" s="139" t="s">
        <v>306</v>
      </c>
      <c r="I20" s="1126"/>
      <c r="J20" s="1127"/>
      <c r="K20" s="1119" t="s">
        <v>374</v>
      </c>
      <c r="L20" s="1120"/>
      <c r="M20" s="1120"/>
      <c r="N20" s="1120"/>
      <c r="O20" s="1120"/>
      <c r="P20" s="1121"/>
    </row>
    <row r="21" spans="2:16" ht="25.5" customHeight="1">
      <c r="B21" s="1102"/>
      <c r="C21" s="1112"/>
      <c r="D21" s="874" t="s">
        <v>379</v>
      </c>
      <c r="E21" s="875"/>
      <c r="F21" s="875"/>
      <c r="G21" s="876"/>
      <c r="H21" s="627" t="s">
        <v>306</v>
      </c>
      <c r="I21" s="1128"/>
      <c r="J21" s="1129"/>
      <c r="K21" s="1141" t="s">
        <v>385</v>
      </c>
      <c r="L21" s="1142"/>
      <c r="M21" s="1142"/>
      <c r="N21" s="1142"/>
      <c r="O21" s="1142"/>
      <c r="P21" s="1143"/>
    </row>
    <row r="22" spans="2:16" ht="25.5" customHeight="1">
      <c r="B22" s="1102"/>
      <c r="C22" s="1152" t="s">
        <v>386</v>
      </c>
      <c r="D22" s="1116" t="s">
        <v>377</v>
      </c>
      <c r="E22" s="1117"/>
      <c r="F22" s="1117"/>
      <c r="G22" s="1118"/>
      <c r="H22" s="731" t="s">
        <v>306</v>
      </c>
      <c r="I22" s="1124" t="s">
        <v>373</v>
      </c>
      <c r="J22" s="1125"/>
      <c r="K22" s="1144" t="s">
        <v>387</v>
      </c>
      <c r="L22" s="1145"/>
      <c r="M22" s="1145"/>
      <c r="N22" s="1145"/>
      <c r="O22" s="1145"/>
      <c r="P22" s="1146"/>
    </row>
    <row r="23" spans="2:16" ht="25.5" customHeight="1">
      <c r="B23" s="1102"/>
      <c r="C23" s="1111"/>
      <c r="D23" s="1132" t="s">
        <v>379</v>
      </c>
      <c r="E23" s="1133"/>
      <c r="F23" s="1133"/>
      <c r="G23" s="1134"/>
      <c r="H23" s="139" t="s">
        <v>306</v>
      </c>
      <c r="I23" s="1126"/>
      <c r="J23" s="1127"/>
      <c r="K23" s="1119" t="s">
        <v>384</v>
      </c>
      <c r="L23" s="1120"/>
      <c r="M23" s="1120"/>
      <c r="N23" s="1120"/>
      <c r="O23" s="1120"/>
      <c r="P23" s="1121"/>
    </row>
    <row r="24" spans="2:16" ht="25.5" customHeight="1">
      <c r="B24" s="1102"/>
      <c r="C24" s="1112"/>
      <c r="D24" s="874" t="s">
        <v>381</v>
      </c>
      <c r="E24" s="875"/>
      <c r="F24" s="875"/>
      <c r="G24" s="876"/>
      <c r="H24" s="627" t="s">
        <v>306</v>
      </c>
      <c r="I24" s="1128"/>
      <c r="J24" s="1129"/>
      <c r="K24" s="1141" t="s">
        <v>388</v>
      </c>
      <c r="L24" s="1142"/>
      <c r="M24" s="1142"/>
      <c r="N24" s="1142"/>
      <c r="O24" s="1142"/>
      <c r="P24" s="1143"/>
    </row>
    <row r="27" spans="2:16" ht="25.5" customHeight="1">
      <c r="C27" s="1079" t="str">
        <f>IF('Język - Language'!$B$30="Polski","PAKIET","PACKAGE")</f>
        <v>PAKIET</v>
      </c>
      <c r="D27" s="1081" t="str">
        <f>IF('Język - Language'!$B$30="Polski","MIEJSCE EMISJI","PLACE OF EMISSION")</f>
        <v>MIEJSCE EMISJI</v>
      </c>
      <c r="E27" s="1072" t="s">
        <v>521</v>
      </c>
      <c r="F27" s="1072"/>
      <c r="G27" s="1147"/>
      <c r="H27" s="1072" t="s">
        <v>524</v>
      </c>
      <c r="I27" s="1073"/>
      <c r="J27" s="1075"/>
      <c r="K27" s="1072" t="s">
        <v>526</v>
      </c>
      <c r="L27" s="1072"/>
      <c r="M27" s="1147"/>
      <c r="N27" s="1147" t="s">
        <v>211</v>
      </c>
      <c r="O27" s="1147"/>
      <c r="P27" s="1148"/>
    </row>
    <row r="28" spans="2:16" ht="25.5" customHeight="1">
      <c r="C28" s="1080"/>
      <c r="D28" s="1159"/>
      <c r="E28" s="728" t="s">
        <v>212</v>
      </c>
      <c r="F28" s="728" t="s">
        <v>213</v>
      </c>
      <c r="G28" s="727" t="s">
        <v>214</v>
      </c>
      <c r="H28" s="727" t="s">
        <v>212</v>
      </c>
      <c r="I28" s="728" t="s">
        <v>213</v>
      </c>
      <c r="J28" s="728" t="s">
        <v>214</v>
      </c>
      <c r="K28" s="728" t="s">
        <v>212</v>
      </c>
      <c r="L28" s="728" t="s">
        <v>213</v>
      </c>
      <c r="M28" s="728" t="s">
        <v>214</v>
      </c>
      <c r="N28" s="728" t="s">
        <v>212</v>
      </c>
      <c r="O28" s="728" t="s">
        <v>213</v>
      </c>
      <c r="P28" s="728" t="s">
        <v>214</v>
      </c>
    </row>
    <row r="29" spans="2:16" ht="90" customHeight="1">
      <c r="B29" s="744" t="s">
        <v>389</v>
      </c>
      <c r="C29" s="768" t="str">
        <f>IF('Język - Language'!$B$30="Polski","WIDEO - SPOTY INTERAKTYWNE","VIDEO C32AUDIO - INTERACTIVE SPOTS")</f>
        <v>WIDEO - SPOTY INTERAKTYWNE</v>
      </c>
      <c r="D29" s="769" t="s">
        <v>464</v>
      </c>
      <c r="E29" s="770" t="s">
        <v>141</v>
      </c>
      <c r="F29" s="771" t="s">
        <v>390</v>
      </c>
      <c r="G29" s="772" t="s">
        <v>391</v>
      </c>
      <c r="H29" s="770" t="s">
        <v>141</v>
      </c>
      <c r="I29" s="771" t="s">
        <v>392</v>
      </c>
      <c r="J29" s="772" t="s">
        <v>390</v>
      </c>
      <c r="K29" s="353" t="s">
        <v>141</v>
      </c>
      <c r="L29" s="725" t="s">
        <v>393</v>
      </c>
      <c r="M29" s="726" t="s">
        <v>394</v>
      </c>
      <c r="N29" s="353" t="s">
        <v>141</v>
      </c>
      <c r="O29" s="725" t="s">
        <v>395</v>
      </c>
      <c r="P29" s="726" t="s">
        <v>396</v>
      </c>
    </row>
    <row r="30" spans="2:16">
      <c r="C30" s="142" t="s">
        <v>463</v>
      </c>
    </row>
    <row r="32" spans="2:16">
      <c r="C32" s="96" t="s">
        <v>522</v>
      </c>
    </row>
    <row r="33" spans="3:3">
      <c r="C33" s="96" t="s">
        <v>523</v>
      </c>
    </row>
    <row r="34" spans="3:3">
      <c r="C34" s="96" t="s">
        <v>525</v>
      </c>
    </row>
    <row r="35" spans="3:3">
      <c r="C35" s="96" t="s">
        <v>527</v>
      </c>
    </row>
    <row r="36" spans="3:3">
      <c r="C36" s="96" t="s">
        <v>258</v>
      </c>
    </row>
  </sheetData>
  <mergeCells count="66">
    <mergeCell ref="L1:P3"/>
    <mergeCell ref="G1:J3"/>
    <mergeCell ref="K12:M12"/>
    <mergeCell ref="K13:M13"/>
    <mergeCell ref="N12:P12"/>
    <mergeCell ref="N13:P13"/>
    <mergeCell ref="D13:G14"/>
    <mergeCell ref="D10:G10"/>
    <mergeCell ref="D11:G11"/>
    <mergeCell ref="D12:G12"/>
    <mergeCell ref="K10:M10"/>
    <mergeCell ref="K11:M11"/>
    <mergeCell ref="N9:P9"/>
    <mergeCell ref="N10:P10"/>
    <mergeCell ref="N11:P11"/>
    <mergeCell ref="K7:P7"/>
    <mergeCell ref="C22:C24"/>
    <mergeCell ref="C27:C28"/>
    <mergeCell ref="D27:D28"/>
    <mergeCell ref="H27:J27"/>
    <mergeCell ref="E27:G27"/>
    <mergeCell ref="K19:P19"/>
    <mergeCell ref="C7:C8"/>
    <mergeCell ref="C9:C12"/>
    <mergeCell ref="C13:C14"/>
    <mergeCell ref="C15:C18"/>
    <mergeCell ref="C19:C21"/>
    <mergeCell ref="I7:J8"/>
    <mergeCell ref="K8:M8"/>
    <mergeCell ref="D7:G8"/>
    <mergeCell ref="D9:G9"/>
    <mergeCell ref="K17:P17"/>
    <mergeCell ref="I10:J10"/>
    <mergeCell ref="I11:J11"/>
    <mergeCell ref="I12:J12"/>
    <mergeCell ref="N8:P8"/>
    <mergeCell ref="N27:P27"/>
    <mergeCell ref="K27:M27"/>
    <mergeCell ref="K20:P20"/>
    <mergeCell ref="K21:P21"/>
    <mergeCell ref="K22:P22"/>
    <mergeCell ref="K23:P23"/>
    <mergeCell ref="K24:P24"/>
    <mergeCell ref="D18:G18"/>
    <mergeCell ref="K9:M9"/>
    <mergeCell ref="H7:H8"/>
    <mergeCell ref="I9:J9"/>
    <mergeCell ref="K14:P14"/>
    <mergeCell ref="K15:P15"/>
    <mergeCell ref="K18:P18"/>
    <mergeCell ref="D19:G19"/>
    <mergeCell ref="K16:P16"/>
    <mergeCell ref="B9:B24"/>
    <mergeCell ref="I14:J14"/>
    <mergeCell ref="I15:J18"/>
    <mergeCell ref="I19:J21"/>
    <mergeCell ref="I22:J24"/>
    <mergeCell ref="I13:J13"/>
    <mergeCell ref="D20:G20"/>
    <mergeCell ref="D21:G21"/>
    <mergeCell ref="D22:G22"/>
    <mergeCell ref="D23:G23"/>
    <mergeCell ref="D24:G24"/>
    <mergeCell ref="D15:G15"/>
    <mergeCell ref="D16:G16"/>
    <mergeCell ref="D17:G17"/>
  </mergeCells>
  <hyperlinks>
    <hyperlink ref="G1:G3" location="'Kampanie zeroemisyjne WP'!A1" display="'Kampanie zeroemisyjne WP'!A1" xr:uid="{71F683DE-882B-4ABD-84F4-C8577DA8A431}"/>
  </hyperlinks>
  <pageMargins left="0.7" right="0.7" top="0.75" bottom="0.75" header="0.3" footer="0.3"/>
  <pageSetup paperSize="256" scale="68"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M54"/>
  <sheetViews>
    <sheetView zoomScaleNormal="100" workbookViewId="0">
      <pane ySplit="4" topLeftCell="A5" activePane="bottomLeft" state="frozen"/>
      <selection pane="bottomLeft" activeCell="A8" sqref="A8"/>
    </sheetView>
  </sheetViews>
  <sheetFormatPr defaultColWidth="9.140625" defaultRowHeight="15"/>
  <cols>
    <col min="1" max="1" width="2.85546875" style="11" customWidth="1"/>
    <col min="2" max="2" width="5.7109375" style="11" customWidth="1"/>
    <col min="3" max="3" width="31.42578125" style="11" customWidth="1"/>
    <col min="4" max="5" width="21.42578125" style="11" customWidth="1"/>
    <col min="6" max="9" width="22.85546875" style="11" customWidth="1"/>
    <col min="10" max="16384" width="9.140625" style="11"/>
  </cols>
  <sheetData>
    <row r="1" spans="2:12" s="2" customFormat="1" ht="12.75" customHeight="1">
      <c r="B1" s="13" t="s">
        <v>101</v>
      </c>
      <c r="C1" s="13"/>
      <c r="D1" s="13"/>
      <c r="E1" s="798" t="s">
        <v>542</v>
      </c>
      <c r="F1" s="798"/>
      <c r="G1" s="799" t="str">
        <f>IF('Język - Language'!$B$30="Polski",CONCATENATE("Cennik Reklamowy Wirtualna Polska Media S.A. - obowiązuje od 1.01.2023 r.",CHAR(10),"W celu zasięgnięcia dodatkowych informacji prosimy o kontakt z Biurem Reklamy,",CHAR(10),"reklama@grupawp.pl, tel. (+48) 22 57 63 900; fax (+48) 22 57 63 959"),CONCATENATE("Advertising price list of Wirtualna Polska Media S.A. - valid from January 1, 2023",CHAR(10),"For further information please contact the Advertising Office of WP,",CHAR(10),"reklama@grupawp.pl, phone (+48) 22 57 63 900; fax (+48) 22 57 63 959"))</f>
        <v>Cennik Reklamowy Wirtualna Polska Media S.A. - obowiązuje od 1.01.2023 r.
W celu zasięgnięcia dodatkowych informacji prosimy o kontakt z Biurem Reklamy,
reklama@grupawp.pl, tel. (+48) 22 57 63 900; fax (+48) 22 57 63 959</v>
      </c>
      <c r="H1" s="799"/>
      <c r="I1" s="799"/>
      <c r="J1" s="135"/>
      <c r="K1" s="58"/>
    </row>
    <row r="2" spans="2:12" s="2" customFormat="1" ht="12.75" customHeight="1">
      <c r="E2" s="798"/>
      <c r="F2" s="798"/>
      <c r="G2" s="799"/>
      <c r="H2" s="799"/>
      <c r="I2" s="799"/>
      <c r="J2" s="135"/>
      <c r="K2" s="58"/>
    </row>
    <row r="3" spans="2:12" s="2" customFormat="1" ht="12.75" customHeight="1">
      <c r="E3" s="798"/>
      <c r="F3" s="798"/>
      <c r="G3" s="799"/>
      <c r="H3" s="799"/>
      <c r="I3" s="799"/>
      <c r="J3" s="135"/>
      <c r="K3" s="58"/>
    </row>
    <row r="4" spans="2:12" s="29" customFormat="1" ht="12.75" customHeight="1">
      <c r="B4" s="30"/>
      <c r="C4" s="520" t="str">
        <f>IF('Język - Language'!$B$30="Polski","           Produkty Content Marketingowe","           Content Marketing")</f>
        <v xml:space="preserve">           Produkty Content Marketingowe</v>
      </c>
      <c r="G4" s="134" t="str">
        <f>IF('Język - Language'!$B$30="Polski","PL","EN")</f>
        <v>PL</v>
      </c>
    </row>
    <row r="5" spans="2:12" ht="12.75" customHeight="1"/>
    <row r="6" spans="2:12" ht="12.75" customHeight="1"/>
    <row r="7" spans="2:12" s="2" customFormat="1" ht="12.75">
      <c r="C7" s="144" t="s">
        <v>397</v>
      </c>
    </row>
    <row r="8" spans="2:12" s="2" customFormat="1" ht="25.5" customHeight="1">
      <c r="B8" s="20"/>
      <c r="C8" s="1022" t="s">
        <v>398</v>
      </c>
      <c r="D8" s="839" t="str">
        <f>IF('Język - Language'!$B$30="Polski","ARTYKUŁ SPONSOROWANY Z GWARANCJĄ","ADVERTORIAL WITH A GUARANTEE")</f>
        <v>ARTYKUŁ SPONSOROWANY Z GWARANCJĄ</v>
      </c>
      <c r="E8" s="839"/>
      <c r="F8" s="839" t="str">
        <f>IF('Język - Language'!$B$30="Polski","ARTYKUŁ SPONSOROWANY","ADVERTORIAL")</f>
        <v>ARTYKUŁ SPONSOROWANY</v>
      </c>
      <c r="G8" s="839"/>
      <c r="H8" s="1166" t="str">
        <f>IF('Język - Language'!$B$30="Polski","ARTYKUŁ SPONSOROWANY LOKALNY","LOCAL ADVERTORIAL")</f>
        <v>ARTYKUŁ SPONSOROWANY LOKALNY</v>
      </c>
      <c r="I8" s="1167"/>
    </row>
    <row r="9" spans="2:12" s="2" customFormat="1" ht="12.75" customHeight="1">
      <c r="C9" s="1022"/>
      <c r="D9" s="839" t="str">
        <f>IF('Język - Language'!$B$30="Polski","Flat Fee 7 dni / net net","Flat Fee 7 days / net net")</f>
        <v>Flat Fee 7 dni / net net</v>
      </c>
      <c r="E9" s="839"/>
      <c r="F9" s="839" t="str">
        <f>IF('Język - Language'!$B$30="Polski","Flat Fee 7 dni / net net","Flat Fee 7 days / net net")</f>
        <v>Flat Fee 7 dni / net net</v>
      </c>
      <c r="G9" s="839"/>
      <c r="H9" s="1166" t="str">
        <f>IF('Język - Language'!$B$30="Polski","Flat Fee 7 dni / net net","Flat Fee 7 days / net net")</f>
        <v>Flat Fee 7 dni / net net</v>
      </c>
      <c r="I9" s="1167"/>
    </row>
    <row r="10" spans="2:12" s="2" customFormat="1" ht="25.5" customHeight="1">
      <c r="B10" s="1102" t="str">
        <f>IF('Język - Language'!$B$30="Polski","FLAT FEE","FLAT FEE")</f>
        <v>FLAT FEE</v>
      </c>
      <c r="C10" s="518" t="s">
        <v>399</v>
      </c>
      <c r="D10" s="1172" t="s">
        <v>400</v>
      </c>
      <c r="E10" s="1173"/>
      <c r="F10" s="1176" t="s">
        <v>180</v>
      </c>
      <c r="G10" s="1177"/>
      <c r="H10" s="1187" t="str">
        <f>IF('Język - Language'!$B$30="Polski","nd","n/a")</f>
        <v>nd</v>
      </c>
      <c r="I10" s="1188"/>
    </row>
    <row r="11" spans="2:12" s="2" customFormat="1" ht="25.5" customHeight="1">
      <c r="B11" s="1102"/>
      <c r="C11" s="517" t="s">
        <v>401</v>
      </c>
      <c r="D11" s="1172" t="s">
        <v>402</v>
      </c>
      <c r="E11" s="1173"/>
      <c r="F11" s="1176"/>
      <c r="G11" s="1177"/>
      <c r="H11" s="1187"/>
      <c r="I11" s="1188"/>
    </row>
    <row r="12" spans="2:12" s="2" customFormat="1" ht="25.5" customHeight="1">
      <c r="B12" s="1102"/>
      <c r="C12" s="517" t="s">
        <v>403</v>
      </c>
      <c r="D12" s="1172" t="s">
        <v>404</v>
      </c>
      <c r="E12" s="1173"/>
      <c r="F12" s="1176"/>
      <c r="G12" s="1177"/>
      <c r="H12" s="1187"/>
      <c r="I12" s="1188"/>
    </row>
    <row r="13" spans="2:12" s="2" customFormat="1" ht="25.5" customHeight="1">
      <c r="B13" s="1102"/>
      <c r="C13" s="521" t="s">
        <v>405</v>
      </c>
      <c r="D13" s="1172" t="s">
        <v>406</v>
      </c>
      <c r="E13" s="1173"/>
      <c r="F13" s="1172"/>
      <c r="G13" s="1178"/>
      <c r="H13" s="1189"/>
      <c r="I13" s="1190"/>
    </row>
    <row r="14" spans="2:12" s="2" customFormat="1" ht="25.5" customHeight="1">
      <c r="B14" s="1171"/>
      <c r="C14" s="522" t="s">
        <v>407</v>
      </c>
      <c r="D14" s="1174" t="str">
        <f>IF('Język - Language'!$B$30="Polski","nd","n/a")</f>
        <v>nd</v>
      </c>
      <c r="E14" s="1175"/>
      <c r="F14" s="1174" t="s">
        <v>408</v>
      </c>
      <c r="G14" s="1179"/>
      <c r="H14" s="1191">
        <v>2000</v>
      </c>
      <c r="I14" s="1192"/>
    </row>
    <row r="15" spans="2:12" s="2" customFormat="1" ht="12.75" customHeight="1">
      <c r="C15" s="99"/>
      <c r="D15" s="156"/>
      <c r="E15" s="156"/>
      <c r="F15" s="103"/>
      <c r="G15" s="103"/>
      <c r="H15" s="102"/>
      <c r="I15" s="102"/>
      <c r="J15" s="102"/>
      <c r="L15" s="155"/>
    </row>
    <row r="16" spans="2:12" s="2" customFormat="1" ht="12.75" customHeight="1">
      <c r="C16" s="99"/>
      <c r="D16" s="156"/>
      <c r="E16" s="156"/>
      <c r="F16" s="103"/>
      <c r="G16" s="103"/>
      <c r="H16" s="102"/>
      <c r="I16" s="102"/>
      <c r="J16" s="102"/>
      <c r="L16" s="155"/>
    </row>
    <row r="17" spans="2:13" s="2" customFormat="1" ht="12.75" customHeight="1">
      <c r="C17" s="97" t="str">
        <f>IF('Język - Language'!$B$30="Polski","ARTYKUŁ SPONSOROWANY LOKALNY - OPCJE DODATKOWE / DOPŁATY DO CENY PODSTAWOWEJ:","ADDITIONAL OPTIONS / EXTRA CHARGES TO BASIC PRICE:")</f>
        <v>ARTYKUŁ SPONSOROWANY LOKALNY - OPCJE DODATKOWE / DOPŁATY DO CENY PODSTAWOWEJ:</v>
      </c>
      <c r="D17" s="156"/>
      <c r="E17" s="156"/>
      <c r="F17" s="103"/>
      <c r="G17" s="103"/>
      <c r="H17" s="102"/>
      <c r="I17" s="102"/>
      <c r="J17" s="102"/>
      <c r="L17" s="155"/>
    </row>
    <row r="18" spans="2:13" s="2" customFormat="1" ht="25.5" customHeight="1">
      <c r="B18" s="20"/>
      <c r="C18" s="1022" t="str">
        <f>IF('Język - Language'!$B$30="Polski","WOJEWÓDZTWO","PROVINCE")</f>
        <v>WOJEWÓDZTWO</v>
      </c>
      <c r="D18" s="1022"/>
      <c r="E18" s="1022"/>
      <c r="F18" s="1041" t="str">
        <f>IF('Język - Language'!$B$30="Polski","GEOTARGETOWANY LINK TEKSTOWY NA SG WP¹","TEXTUAL LINK WITH GEOTARGETING IN THE WP HP¹")</f>
        <v>GEOTARGETOWANY LINK TEKSTOWY NA SG WP¹</v>
      </c>
      <c r="G18" s="1041"/>
      <c r="H18" s="840" t="str">
        <f>IF('Język - Language'!$B$30="Polski","GEOBOX NA SG WP¹","GEOBOX IN THE WP HP¹")</f>
        <v>GEOBOX NA SG WP¹</v>
      </c>
      <c r="I18" s="1170"/>
      <c r="J18" s="102"/>
      <c r="L18" s="155"/>
    </row>
    <row r="19" spans="2:13" s="2" customFormat="1" ht="25.5" customHeight="1">
      <c r="C19" s="1022"/>
      <c r="D19" s="1022"/>
      <c r="E19" s="1022"/>
      <c r="F19" s="73" t="str">
        <f>IF('Język - Language'!$B$30="Polski","MODUŁ WIADOMOŚCI","CATEGORY NEWS")</f>
        <v>MODUŁ WIADOMOŚCI</v>
      </c>
      <c r="G19" s="574" t="str">
        <f>IF('Język - Language'!$B$30="Polski","MODUŁ SPORT","CATEGORY SPORT")</f>
        <v>MODUŁ SPORT</v>
      </c>
      <c r="H19" s="573" t="str">
        <f>IF('Język - Language'!$B$30="Polski","MODUŁ GWIAZDY","CATEGORY STARS")</f>
        <v>MODUŁ GWIAZDY</v>
      </c>
      <c r="I19" s="562" t="str">
        <f>IF('Język - Language'!$B$30="Polski","MODUŁ  MOTO, TECH, STYL ŻYCIA","CATEGORY AUTOMOTIVE, TECH, LIFESTYLE")</f>
        <v>MODUŁ  MOTO, TECH, STYL ŻYCIA</v>
      </c>
      <c r="J19" s="102"/>
      <c r="L19" s="155"/>
    </row>
    <row r="20" spans="2:13" s="2" customFormat="1" ht="12.75" customHeight="1">
      <c r="C20" s="839"/>
      <c r="D20" s="839"/>
      <c r="E20" s="839"/>
      <c r="F20" s="989" t="str">
        <f>IF('Język - Language'!$B$30="Polski","Flat Fee 1 dzień / net net","Flat Fee 1 day / net net")</f>
        <v>Flat Fee 1 dzień / net net</v>
      </c>
      <c r="G20" s="989"/>
      <c r="H20" s="989" t="str">
        <f>IF('Język - Language'!$B$30="Polski","Flat Fee 7 dni / net net","Flat Fee 7 days / net net")</f>
        <v>Flat Fee 7 dni / net net</v>
      </c>
      <c r="I20" s="990"/>
      <c r="J20" s="102"/>
      <c r="L20" s="155"/>
    </row>
    <row r="21" spans="2:13" s="2" customFormat="1" ht="25.5" customHeight="1">
      <c r="B21" s="1102" t="s">
        <v>98</v>
      </c>
      <c r="C21" s="896" t="s">
        <v>409</v>
      </c>
      <c r="D21" s="897"/>
      <c r="E21" s="898"/>
      <c r="F21" s="311">
        <v>4500</v>
      </c>
      <c r="G21" s="312">
        <v>3500</v>
      </c>
      <c r="H21" s="317">
        <v>2500</v>
      </c>
      <c r="I21" s="312">
        <v>1500</v>
      </c>
      <c r="J21" s="102"/>
      <c r="L21" s="155"/>
    </row>
    <row r="22" spans="2:13" s="2" customFormat="1" ht="25.5" customHeight="1">
      <c r="B22" s="1102"/>
      <c r="C22" s="881" t="s">
        <v>410</v>
      </c>
      <c r="D22" s="882"/>
      <c r="E22" s="883"/>
      <c r="F22" s="313">
        <v>2000</v>
      </c>
      <c r="G22" s="314">
        <v>1500</v>
      </c>
      <c r="H22" s="318">
        <v>1500</v>
      </c>
      <c r="I22" s="314">
        <v>1000</v>
      </c>
      <c r="J22" s="102"/>
      <c r="L22" s="155"/>
    </row>
    <row r="23" spans="2:13" s="2" customFormat="1" ht="25.5" customHeight="1">
      <c r="B23" s="1102"/>
      <c r="C23" s="885" t="s">
        <v>411</v>
      </c>
      <c r="D23" s="886"/>
      <c r="E23" s="903"/>
      <c r="F23" s="313">
        <v>1500</v>
      </c>
      <c r="G23" s="314">
        <v>1300</v>
      </c>
      <c r="H23" s="318">
        <v>1000</v>
      </c>
      <c r="I23" s="314">
        <v>700</v>
      </c>
      <c r="J23" s="102"/>
      <c r="L23" s="155"/>
    </row>
    <row r="24" spans="2:13" s="2" customFormat="1" ht="25.5" customHeight="1">
      <c r="B24" s="1102"/>
      <c r="C24" s="881" t="s">
        <v>412</v>
      </c>
      <c r="D24" s="882"/>
      <c r="E24" s="883"/>
      <c r="F24" s="313">
        <v>1000</v>
      </c>
      <c r="G24" s="314">
        <v>700</v>
      </c>
      <c r="H24" s="318">
        <v>1000</v>
      </c>
      <c r="I24" s="314">
        <v>700</v>
      </c>
      <c r="J24" s="102"/>
      <c r="L24" s="155"/>
    </row>
    <row r="25" spans="2:13" s="2" customFormat="1" ht="25.5" customHeight="1">
      <c r="B25" s="1102"/>
      <c r="C25" s="1180" t="s">
        <v>413</v>
      </c>
      <c r="D25" s="1181"/>
      <c r="E25" s="1182"/>
      <c r="F25" s="315">
        <v>700</v>
      </c>
      <c r="G25" s="316">
        <v>500</v>
      </c>
      <c r="H25" s="319">
        <v>500</v>
      </c>
      <c r="I25" s="320">
        <v>500</v>
      </c>
      <c r="J25" s="102"/>
      <c r="L25" s="155"/>
    </row>
    <row r="26" spans="2:13" s="2" customFormat="1" ht="12.75">
      <c r="C26" s="99" t="str">
        <f>IF('Język - Language'!$B$30="Polski","¹ wycena net-net, ceny dla 1 województwa","¹ net-net valuation, prices for 1 province")</f>
        <v>¹ wycena net-net, ceny dla 1 województwa</v>
      </c>
      <c r="D26" s="99"/>
      <c r="E26" s="142"/>
      <c r="F26" s="142"/>
      <c r="G26" s="142"/>
      <c r="H26" s="142"/>
      <c r="I26" s="142"/>
      <c r="J26" s="142"/>
      <c r="M26" s="155"/>
    </row>
    <row r="27" spans="2:13" s="2" customFormat="1" ht="12.75">
      <c r="C27" s="99"/>
      <c r="D27" s="99"/>
      <c r="E27" s="142"/>
      <c r="F27" s="142"/>
      <c r="G27" s="142"/>
      <c r="H27" s="142"/>
      <c r="I27" s="142"/>
      <c r="J27" s="142"/>
      <c r="M27" s="155"/>
    </row>
    <row r="28" spans="2:13" s="2" customFormat="1" ht="12.75">
      <c r="C28" s="99"/>
      <c r="D28" s="99"/>
      <c r="E28" s="142"/>
      <c r="F28" s="142"/>
      <c r="G28" s="142"/>
      <c r="H28" s="142"/>
      <c r="I28" s="142"/>
      <c r="J28" s="142"/>
      <c r="M28" s="155"/>
    </row>
    <row r="29" spans="2:13" s="2" customFormat="1" ht="12.75" customHeight="1">
      <c r="C29" s="174" t="s">
        <v>414</v>
      </c>
      <c r="D29" s="156"/>
      <c r="E29" s="156"/>
      <c r="F29" s="103"/>
      <c r="G29" s="103"/>
      <c r="H29" s="102"/>
      <c r="I29" s="102"/>
      <c r="J29" s="102"/>
      <c r="L29" s="155"/>
    </row>
    <row r="30" spans="2:13" s="2" customFormat="1" ht="25.5" customHeight="1">
      <c r="B30" s="20"/>
      <c r="C30" s="1168" t="str">
        <f>IF('Język - Language'!$B$30="Polski","LICZBA ARTYKUŁÓW","NUMBER OF ARTICLES")</f>
        <v>LICZBA ARTYKUŁÓW</v>
      </c>
      <c r="D30" s="840" t="str">
        <f>IF('Język - Language'!$B$30="Polski","PRÓG #1","OPTION #1")</f>
        <v>PRÓG #1</v>
      </c>
      <c r="E30" s="840"/>
      <c r="F30" s="840" t="str">
        <f>IF('Język - Language'!$B$30="Polski","PRÓG #2","OPTION #2")</f>
        <v>PRÓG #2</v>
      </c>
      <c r="G30" s="1170"/>
    </row>
    <row r="31" spans="2:13" s="2" customFormat="1" ht="12.75" customHeight="1">
      <c r="B31" s="20"/>
      <c r="C31" s="1169"/>
      <c r="D31" s="575" t="str">
        <f>IF('Język - Language'!$B$30="Polski","ZASIĘG","REACH")</f>
        <v>ZASIĘG</v>
      </c>
      <c r="E31" s="576" t="str">
        <f>IF('Język - Language'!$B$30="Polski","Flat Fee 7 dni / net net","Flat Fee 7 days / net net")</f>
        <v>Flat Fee 7 dni / net net</v>
      </c>
      <c r="F31" s="575" t="str">
        <f>IF('Język - Language'!$B$30="Polski","ZASIĘG","REACH")</f>
        <v>ZASIĘG</v>
      </c>
      <c r="G31" s="572" t="str">
        <f>IF('Język - Language'!$B$30="Polski","Flat Fee 7 dni / net net","Flat Fee 7 days / net net")</f>
        <v>Flat Fee 7 dni / net net</v>
      </c>
    </row>
    <row r="32" spans="2:13" s="2" customFormat="1" ht="25.5" customHeight="1">
      <c r="B32" s="1102" t="str">
        <f>IF('Język - Language'!$B$30="Polski","FLAT FEE","FLAT FEE")</f>
        <v>FLAT FEE</v>
      </c>
      <c r="C32" s="523">
        <v>1</v>
      </c>
      <c r="D32" s="172" t="s">
        <v>415</v>
      </c>
      <c r="E32" s="321">
        <v>12000</v>
      </c>
      <c r="F32" s="306" t="s">
        <v>416</v>
      </c>
      <c r="G32" s="312">
        <v>15000</v>
      </c>
    </row>
    <row r="33" spans="2:13" s="2" customFormat="1" ht="25.5" customHeight="1">
      <c r="B33" s="1102"/>
      <c r="C33" s="524">
        <v>2</v>
      </c>
      <c r="D33" s="300" t="s">
        <v>417</v>
      </c>
      <c r="E33" s="314">
        <v>22800</v>
      </c>
      <c r="F33" s="305" t="s">
        <v>418</v>
      </c>
      <c r="G33" s="314">
        <v>28500</v>
      </c>
    </row>
    <row r="34" spans="2:13" s="2" customFormat="1" ht="25.5" customHeight="1">
      <c r="B34" s="1102"/>
      <c r="C34" s="525">
        <v>3</v>
      </c>
      <c r="D34" s="300" t="s">
        <v>419</v>
      </c>
      <c r="E34" s="314">
        <v>32400</v>
      </c>
      <c r="F34" s="305" t="s">
        <v>420</v>
      </c>
      <c r="G34" s="314">
        <v>40500</v>
      </c>
    </row>
    <row r="35" spans="2:13" s="2" customFormat="1" ht="25.5" customHeight="1">
      <c r="B35" s="1171"/>
      <c r="C35" s="526">
        <v>4</v>
      </c>
      <c r="D35" s="301" t="s">
        <v>421</v>
      </c>
      <c r="E35" s="316">
        <v>40800</v>
      </c>
      <c r="F35" s="304" t="s">
        <v>422</v>
      </c>
      <c r="G35" s="316">
        <v>51000</v>
      </c>
    </row>
    <row r="36" spans="2:13" s="2" customFormat="1" ht="12.75" customHeight="1">
      <c r="C36" s="101"/>
      <c r="D36" s="156"/>
      <c r="E36" s="156"/>
      <c r="F36" s="103"/>
      <c r="G36" s="103"/>
      <c r="H36" s="102"/>
      <c r="I36" s="102"/>
      <c r="J36" s="102"/>
      <c r="L36" s="155"/>
    </row>
    <row r="37" spans="2:13" s="2" customFormat="1" ht="12.75" customHeight="1">
      <c r="C37" s="101"/>
      <c r="D37" s="156"/>
      <c r="E37" s="156"/>
      <c r="F37" s="103"/>
      <c r="G37" s="103"/>
      <c r="H37" s="102"/>
      <c r="I37" s="102"/>
      <c r="J37" s="102"/>
      <c r="L37" s="155"/>
    </row>
    <row r="38" spans="2:13" s="2" customFormat="1" ht="12.75" customHeight="1">
      <c r="C38" s="175" t="str">
        <f>IF('Język - Language'!$B$30="Polski","INNE","OTHER PRODUCTS")</f>
        <v>INNE</v>
      </c>
      <c r="D38" s="156"/>
      <c r="E38" s="156"/>
      <c r="F38" s="103"/>
      <c r="G38" s="103"/>
      <c r="H38" s="102"/>
      <c r="I38" s="102"/>
      <c r="J38" s="102"/>
      <c r="L38" s="155"/>
    </row>
    <row r="39" spans="2:13" s="2" customFormat="1" ht="25.5" customHeight="1">
      <c r="C39" s="570" t="str">
        <f>IF('Język - Language'!$B$30="Polski","FORMA REKLAMOWA","ADVERTISING FORM")</f>
        <v>FORMA REKLAMOWA</v>
      </c>
      <c r="D39" s="1022" t="str">
        <f>IF('Język - Language'!$B$30="Polski","OPIS","DESCRIPTION")</f>
        <v>OPIS</v>
      </c>
      <c r="E39" s="1022"/>
      <c r="F39" s="551" t="s">
        <v>423</v>
      </c>
      <c r="G39" s="72" t="str">
        <f>IF('Język - Language'!$B$30="Polski","Flat Fee 7 dni / net net","Flat Fee 1 week / net net")</f>
        <v>Flat Fee 7 dni / net net</v>
      </c>
      <c r="H39" s="155"/>
    </row>
    <row r="40" spans="2:13" s="2" customFormat="1" ht="25.5" customHeight="1">
      <c r="B40" s="855" t="s">
        <v>98</v>
      </c>
      <c r="C40" s="534" t="s">
        <v>424</v>
      </c>
      <c r="D40" s="1193" t="s">
        <v>425</v>
      </c>
      <c r="E40" s="1194"/>
      <c r="F40" s="165" t="s">
        <v>426</v>
      </c>
      <c r="G40" s="533" t="s">
        <v>427</v>
      </c>
      <c r="H40" s="671"/>
    </row>
    <row r="41" spans="2:13" s="2" customFormat="1" ht="25.5" customHeight="1">
      <c r="B41" s="855"/>
      <c r="C41" s="521" t="s">
        <v>428</v>
      </c>
      <c r="D41" s="1183" t="s">
        <v>429</v>
      </c>
      <c r="E41" s="1184"/>
      <c r="F41" s="118" t="s">
        <v>426</v>
      </c>
      <c r="G41" s="535" t="s">
        <v>430</v>
      </c>
      <c r="H41" s="155"/>
    </row>
    <row r="42" spans="2:13" s="2" customFormat="1" ht="25.5" customHeight="1">
      <c r="B42" s="855"/>
      <c r="C42" s="521" t="s">
        <v>431</v>
      </c>
      <c r="D42" s="1183" t="s">
        <v>432</v>
      </c>
      <c r="E42" s="1184"/>
      <c r="F42" s="536" t="s">
        <v>433</v>
      </c>
      <c r="G42" s="537" t="s">
        <v>434</v>
      </c>
      <c r="H42" s="155"/>
    </row>
    <row r="43" spans="2:13" s="2" customFormat="1" ht="25.5" customHeight="1">
      <c r="B43" s="855"/>
      <c r="C43" s="521" t="s">
        <v>435</v>
      </c>
      <c r="D43" s="1183" t="s">
        <v>436</v>
      </c>
      <c r="E43" s="1184"/>
      <c r="F43" s="536" t="s">
        <v>426</v>
      </c>
      <c r="G43" s="537" t="s">
        <v>437</v>
      </c>
      <c r="H43" s="155"/>
    </row>
    <row r="44" spans="2:13" s="2" customFormat="1" ht="25.5" customHeight="1">
      <c r="B44" s="855"/>
      <c r="C44" s="521" t="s">
        <v>438</v>
      </c>
      <c r="D44" s="1183" t="s">
        <v>439</v>
      </c>
      <c r="E44" s="1184"/>
      <c r="F44" s="536" t="s">
        <v>433</v>
      </c>
      <c r="G44" s="537" t="s">
        <v>440</v>
      </c>
      <c r="H44" s="155"/>
    </row>
    <row r="45" spans="2:13" s="2" customFormat="1" ht="25.5" customHeight="1">
      <c r="B45" s="855"/>
      <c r="C45" s="522" t="s">
        <v>441</v>
      </c>
      <c r="D45" s="1185" t="s">
        <v>442</v>
      </c>
      <c r="E45" s="1186"/>
      <c r="F45" s="302" t="s">
        <v>426</v>
      </c>
      <c r="G45" s="532" t="s">
        <v>430</v>
      </c>
      <c r="H45" s="155"/>
    </row>
    <row r="46" spans="2:13" s="2" customFormat="1" ht="12.75" customHeight="1">
      <c r="C46" s="99"/>
      <c r="D46" s="156"/>
      <c r="E46" s="156"/>
      <c r="F46" s="103"/>
      <c r="G46" s="103"/>
      <c r="H46" s="102"/>
      <c r="I46" s="102"/>
      <c r="J46" s="102"/>
      <c r="L46" s="155"/>
    </row>
    <row r="47" spans="2:13" s="2" customFormat="1" ht="12.75" customHeight="1">
      <c r="C47" s="95"/>
      <c r="D47" s="95"/>
      <c r="E47" s="95"/>
      <c r="F47" s="95"/>
      <c r="G47" s="95"/>
      <c r="H47" s="95"/>
      <c r="I47" s="95"/>
      <c r="J47" s="95"/>
      <c r="M47" s="11"/>
    </row>
    <row r="48" spans="2:13" s="2" customFormat="1" ht="12.75" customHeight="1">
      <c r="C48" s="97" t="str">
        <f>IF('Język - Language'!$B$30="Polski","INFORMACJE DODATKOWE: ","FURTHER INFORMATION: ")</f>
        <v xml:space="preserve">INFORMACJE DODATKOWE: </v>
      </c>
      <c r="D48" s="97"/>
      <c r="E48" s="142"/>
      <c r="F48" s="142"/>
      <c r="G48" s="142"/>
      <c r="H48" s="142"/>
      <c r="I48" s="142"/>
      <c r="J48" s="94" t="s">
        <v>101</v>
      </c>
      <c r="M48" s="11"/>
    </row>
    <row r="49" spans="3:13" s="2" customFormat="1" ht="12.75" customHeight="1">
      <c r="C49" s="142" t="str">
        <f>IF('Język - Language'!$B$30="Polski","• Artykuł sponsorowany z gwarancją jest promowany do osiągnięcia gwarantowanego zasięgu (max. 14 dni) z wykorzystaniem powierzchni serwisu oraz na SG WP.","• A standard sponsored article includes weekly editorial preview in the HP of a given site in which the article is placed.")</f>
        <v>• Artykuł sponsorowany z gwarancją jest promowany do osiągnięcia gwarantowanego zasięgu (max. 14 dni) z wykorzystaniem powierzchni serwisu oraz na SG WP.</v>
      </c>
      <c r="D49" s="94"/>
      <c r="E49" s="94"/>
      <c r="F49" s="94"/>
      <c r="G49" s="94"/>
      <c r="H49" s="94"/>
      <c r="I49" s="94"/>
      <c r="J49" s="94"/>
      <c r="M49" s="11"/>
    </row>
    <row r="50" spans="3:13" s="2" customFormat="1" ht="12.75" customHeight="1">
      <c r="C50" s="98" t="s">
        <v>443</v>
      </c>
      <c r="D50" s="191"/>
      <c r="E50" s="191"/>
      <c r="F50" s="191"/>
      <c r="G50" s="191"/>
      <c r="H50" s="191"/>
      <c r="I50" s="191"/>
      <c r="J50" s="191"/>
      <c r="M50" s="11"/>
    </row>
    <row r="51" spans="3:13" s="2" customFormat="1">
      <c r="C51" s="142"/>
      <c r="D51" s="142"/>
      <c r="E51" s="142"/>
      <c r="F51" s="142"/>
      <c r="G51" s="142"/>
      <c r="H51" s="142"/>
      <c r="I51" s="142"/>
      <c r="J51" s="142"/>
      <c r="M51" s="11"/>
    </row>
    <row r="52" spans="3:13" s="2" customFormat="1">
      <c r="C52" s="97" t="str">
        <f>IF('Język - Language'!$B$30="Polski","OPCJE DODATKOWE (bez dopłat):","ADDITIONAL OPTIONS:")</f>
        <v>OPCJE DODATKOWE (bez dopłat):</v>
      </c>
      <c r="D52" s="142"/>
      <c r="E52" s="142"/>
      <c r="F52" s="142"/>
      <c r="G52" s="142"/>
      <c r="H52" s="142"/>
      <c r="I52" s="142"/>
      <c r="J52" s="142"/>
      <c r="M52" s="11"/>
    </row>
    <row r="53" spans="3:13" s="2" customFormat="1">
      <c r="C53" s="142" t="str">
        <f>IF('Język - Language'!$B$30="Polski","• Możliwość umieszczenia multimediów w artykule ","• It is possible to place multimedia in an article")</f>
        <v xml:space="preserve">• Możliwość umieszczenia multimediów w artykule </v>
      </c>
      <c r="D53" s="142"/>
      <c r="E53" s="142"/>
      <c r="F53" s="142"/>
      <c r="G53" s="142"/>
      <c r="H53" s="142"/>
      <c r="I53" s="142"/>
      <c r="J53" s="142"/>
      <c r="M53" s="11"/>
    </row>
    <row r="54" spans="3:13" s="2" customFormat="1">
      <c r="C54" s="98" t="str">
        <f>IF('Język - Language'!$B$30="Polski","• Branding artykułu (screening desktop i górny banner mobile)","• Branding (desktop screening &amp; upper mobile banner)")</f>
        <v>• Branding artykułu (screening desktop i górny banner mobile)</v>
      </c>
      <c r="D54" s="142"/>
      <c r="E54" s="142"/>
      <c r="F54" s="142"/>
      <c r="G54" s="142"/>
      <c r="H54" s="142"/>
      <c r="I54" s="142"/>
      <c r="J54" s="142"/>
      <c r="M54" s="11"/>
    </row>
  </sheetData>
  <mergeCells count="43">
    <mergeCell ref="G1:I3"/>
    <mergeCell ref="E1:F3"/>
    <mergeCell ref="B40:B45"/>
    <mergeCell ref="D42:E42"/>
    <mergeCell ref="D43:E43"/>
    <mergeCell ref="D44:E44"/>
    <mergeCell ref="D45:E45"/>
    <mergeCell ref="H10:I13"/>
    <mergeCell ref="H14:I14"/>
    <mergeCell ref="D40:E40"/>
    <mergeCell ref="D39:E39"/>
    <mergeCell ref="D41:E41"/>
    <mergeCell ref="B32:B35"/>
    <mergeCell ref="H18:I18"/>
    <mergeCell ref="H20:I20"/>
    <mergeCell ref="F18:G18"/>
    <mergeCell ref="C21:E21"/>
    <mergeCell ref="C22:E22"/>
    <mergeCell ref="C23:E23"/>
    <mergeCell ref="C24:E24"/>
    <mergeCell ref="C25:E25"/>
    <mergeCell ref="C30:C31"/>
    <mergeCell ref="D30:E30"/>
    <mergeCell ref="F30:G30"/>
    <mergeCell ref="D8:E8"/>
    <mergeCell ref="B10:B14"/>
    <mergeCell ref="D10:E10"/>
    <mergeCell ref="D11:E11"/>
    <mergeCell ref="D12:E12"/>
    <mergeCell ref="D13:E13"/>
    <mergeCell ref="D14:E14"/>
    <mergeCell ref="F10:G13"/>
    <mergeCell ref="F14:G14"/>
    <mergeCell ref="B21:B25"/>
    <mergeCell ref="F20:G20"/>
    <mergeCell ref="C18:E19"/>
    <mergeCell ref="C20:E20"/>
    <mergeCell ref="H8:I8"/>
    <mergeCell ref="F8:G8"/>
    <mergeCell ref="C8:C9"/>
    <mergeCell ref="D9:E9"/>
    <mergeCell ref="F9:G9"/>
    <mergeCell ref="H9:I9"/>
  </mergeCells>
  <hyperlinks>
    <hyperlink ref="E1:E3" location="'Kampanie zeroemisyjne WP'!A1" display="'Kampanie zeroemisyjne WP'!A1" xr:uid="{3A8E67C5-E4BD-4D81-91D9-FFD242D55743}"/>
  </hyperlinks>
  <pageMargins left="0.7" right="0.7" top="0.75" bottom="0.75" header="0.3" footer="0.3"/>
  <pageSetup paperSize="9" orientation="portrait" horizontalDpi="1200" verticalDpi="1200" r:id="rId1"/>
  <ignoredErrors>
    <ignoredError sqref="E31:F31"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usz10">
    <tabColor rgb="FF00B0F0"/>
    <pageSetUpPr fitToPage="1"/>
  </sheetPr>
  <dimension ref="A1:AA89"/>
  <sheetViews>
    <sheetView zoomScaleNormal="100" workbookViewId="0">
      <pane ySplit="4" topLeftCell="A5" activePane="bottomLeft" state="frozen"/>
      <selection pane="bottomLeft" activeCell="A7" sqref="A7"/>
    </sheetView>
  </sheetViews>
  <sheetFormatPr defaultColWidth="11.42578125" defaultRowHeight="12.75"/>
  <cols>
    <col min="1" max="1" width="5.7109375" style="2" customWidth="1"/>
    <col min="2" max="2" width="20.42578125" style="2" customWidth="1"/>
    <col min="3" max="3" width="82.85546875" style="2" customWidth="1"/>
    <col min="4" max="4" width="43.85546875" style="2" customWidth="1"/>
    <col min="5" max="5" width="5.42578125" style="2" customWidth="1"/>
    <col min="6" max="6" width="33.42578125" style="2" customWidth="1"/>
    <col min="7" max="16384" width="11.42578125" style="2"/>
  </cols>
  <sheetData>
    <row r="1" spans="1:12" ht="12.75" customHeight="1">
      <c r="A1" s="67"/>
      <c r="B1" s="67"/>
      <c r="C1" s="799" t="str">
        <f>IF('Język - Language'!$B$30="Polski",CONCATENATE("Cennik Reklamowy Wirtualna Polska Media S.A. - obowiązuje od 1.01.2023 r.",CHAR(10),"W celu zasięgnięcia dodatkowych informacji prosimy o kontakt z Biurem Reklamy,",CHAR(10),"reklama@grupawp.pl, tel. (+48) 22 57 63 900; fax (+48) 22 57 63 959"),CONCATENATE("Advertising price list of Wirtualna Polska Media S.A. - valid from January 1, 2023",CHAR(10),"For further information please contact the Advertising Office of WP,",CHAR(10),"reklama@grupawp.pl, phone (+48) 22 57 63 900; fax (+48) 22 57 63 959"))</f>
        <v>Cennik Reklamowy Wirtualna Polska Media S.A. - obowiązuje od 1.01.2023 r.
W celu zasięgnięcia dodatkowych informacji prosimy o kontakt z Biurem Reklamy,
reklama@grupawp.pl, tel. (+48) 22 57 63 900; fax (+48) 22 57 63 959</v>
      </c>
      <c r="D1" s="799"/>
      <c r="E1" s="52"/>
      <c r="F1" s="52"/>
    </row>
    <row r="2" spans="1:12" ht="12.75" customHeight="1">
      <c r="A2" s="67"/>
      <c r="B2" s="67"/>
      <c r="C2" s="799"/>
      <c r="D2" s="799"/>
      <c r="E2" s="52"/>
      <c r="F2" s="52"/>
    </row>
    <row r="3" spans="1:12" ht="12.75" customHeight="1">
      <c r="A3" s="67"/>
      <c r="B3" s="67"/>
      <c r="C3" s="799"/>
      <c r="D3" s="799"/>
      <c r="E3" s="52"/>
      <c r="F3" s="52"/>
    </row>
    <row r="4" spans="1:12" s="29" customFormat="1" ht="12.75" customHeight="1">
      <c r="B4" s="520" t="str">
        <f>IF('Język - Language'!$B$30="Polski","               Opcje emisji, dopłaty i uwagi dodatkowe","               Extra charges, additional service and further comments")</f>
        <v xml:space="preserve">               Opcje emisji, dopłaty i uwagi dodatkowe</v>
      </c>
      <c r="C4" s="31"/>
      <c r="D4" s="134" t="str">
        <f>IF('Język - Language'!$B$30="Polski","PL","EN")</f>
        <v>PL</v>
      </c>
    </row>
    <row r="5" spans="1:12" ht="12.75" customHeight="1"/>
    <row r="6" spans="1:12" ht="12.75" customHeight="1"/>
    <row r="7" spans="1:12" ht="25.5" customHeight="1">
      <c r="B7" s="1205" t="str">
        <f>IF('Język - Language'!$B$30="Polski","OPCJE EMISJI","ADDITIONAL OPTIONS")</f>
        <v>OPCJE EMISJI</v>
      </c>
      <c r="C7" s="1205"/>
      <c r="D7" s="577" t="str">
        <f>IF('Język - Language'!$B$30="Polski","DOPŁATA","EXTRA CHARGE")</f>
        <v>DOPŁATA</v>
      </c>
    </row>
    <row r="8" spans="1:12" ht="12.75" customHeight="1">
      <c r="B8" s="1206" t="str">
        <f>IF('Język - Language'!$B$30="Polski","Emisja Flat Fee w okresie wzmożonego popytu (np. Black Week, 13-26 grudnia, okres 2 tygodnie przed Wielkanocą, ważniejsze eventy sportowe)","Flat Fee emission in the period of increased demand (eg Black Week, 13-26 December, 2 weeks before Easter, major sporting events)")</f>
        <v>Emisja Flat Fee w okresie wzmożonego popytu (np. Black Week, 13-26 grudnia, okres 2 tygodnie przed Wielkanocą, ważniejsze eventy sportowe)</v>
      </c>
      <c r="C8" s="1206"/>
      <c r="D8" s="157" t="s">
        <v>267</v>
      </c>
      <c r="E8" s="17"/>
      <c r="F8" s="88"/>
      <c r="G8" s="88"/>
      <c r="H8" s="88"/>
      <c r="I8" s="53"/>
      <c r="J8" s="53"/>
      <c r="K8" s="53"/>
      <c r="L8" s="53"/>
    </row>
    <row r="9" spans="1:12" ht="12.75" customHeight="1">
      <c r="B9" s="1197" t="str">
        <f>IF('Język - Language'!$B$30="Polski","Pre-Order - rezerwacja na WP SG przed oficjalnym otwarciem rezerwatora na kolejny kwartał","Pre-Order - prior reservation (a guarantee od emission day) on the WP HP")</f>
        <v>Pre-Order - rezerwacja na WP SG przed oficjalnym otwarciem rezerwatora na kolejny kwartał</v>
      </c>
      <c r="C9" s="1198"/>
      <c r="D9" s="158" t="s">
        <v>272</v>
      </c>
      <c r="E9" s="17"/>
      <c r="F9" s="88"/>
      <c r="G9" s="88"/>
      <c r="H9" s="88"/>
      <c r="I9" s="53"/>
      <c r="J9" s="53"/>
      <c r="K9" s="53"/>
      <c r="L9" s="53"/>
    </row>
    <row r="10" spans="1:12" ht="12.75" customHeight="1">
      <c r="B10" s="1206" t="str">
        <f>IF('Język - Language'!$B$30="Polski","Umieszczenie reklamy w wybranym przedziale godzinowym","Displaying ad in selected hourly time slots")</f>
        <v>Umieszczenie reklamy w wybranym przedziale godzinowym</v>
      </c>
      <c r="C10" s="1206"/>
      <c r="D10" s="157" t="s">
        <v>265</v>
      </c>
      <c r="E10" s="17"/>
      <c r="F10" s="88"/>
      <c r="G10" s="88"/>
      <c r="H10" s="88"/>
      <c r="I10" s="53"/>
      <c r="J10" s="53"/>
      <c r="K10" s="53"/>
      <c r="L10" s="53"/>
    </row>
    <row r="11" spans="1:12" ht="12.75" customHeight="1">
      <c r="B11" s="1197" t="str">
        <f>IF('Język - Language'!$B$30="Polski","Umieszczenie reklamy w wybranym przedziale godzinowym w opcji last minute","Displaying ad in selected hourly time slots (last minute)")</f>
        <v>Umieszczenie reklamy w wybranym przedziale godzinowym w opcji last minute</v>
      </c>
      <c r="C11" s="1198"/>
      <c r="D11" s="157" t="s">
        <v>444</v>
      </c>
      <c r="F11" s="88"/>
      <c r="G11" s="88"/>
      <c r="H11" s="88"/>
    </row>
    <row r="12" spans="1:12" ht="12.75" customHeight="1">
      <c r="B12" s="1206" t="str">
        <f>IF('Język - Language'!$B$30="Polski","Ukierunkowanie reklamy do użytkowników wybranej przeglądarki internetowej","Directing ad to users using selected internet browser")</f>
        <v>Ukierunkowanie reklamy do użytkowników wybranej przeglądarki internetowej</v>
      </c>
      <c r="C12" s="1206"/>
      <c r="D12" s="158" t="s">
        <v>265</v>
      </c>
      <c r="F12" s="88"/>
      <c r="G12" s="88"/>
      <c r="H12" s="88"/>
      <c r="I12" s="1210"/>
      <c r="J12" s="1210"/>
      <c r="K12" s="1210"/>
      <c r="L12" s="54"/>
    </row>
    <row r="13" spans="1:12" ht="12.75" customHeight="1">
      <c r="B13" s="1207" t="str">
        <f>IF('Język - Language'!$B$30="Polski","Ukierunkowanie reklamy do użytkowników wybranego systemu operacyjnego","Directing ad to users using selected operational system")</f>
        <v>Ukierunkowanie reklamy do użytkowników wybranego systemu operacyjnego</v>
      </c>
      <c r="C13" s="1207"/>
      <c r="D13" s="158" t="s">
        <v>444</v>
      </c>
      <c r="F13" s="88"/>
      <c r="G13" s="88"/>
      <c r="H13" s="88"/>
      <c r="I13" s="1210"/>
      <c r="J13" s="1210"/>
      <c r="K13" s="1210"/>
      <c r="L13" s="54"/>
    </row>
    <row r="14" spans="1:12" ht="12.75" customHeight="1">
      <c r="B14" s="1209" t="str">
        <f>IF('Język - Language'!$B$30="Polski","Ukierunkowanie reklamy do użytkowników wybranej marki lub modelu telefonu","Directing ad to users of selected brand or type of cell phone")</f>
        <v>Ukierunkowanie reklamy do użytkowników wybranej marki lub modelu telefonu</v>
      </c>
      <c r="C14" s="1209"/>
      <c r="D14" s="158" t="s">
        <v>265</v>
      </c>
      <c r="E14" s="17"/>
      <c r="F14" s="88"/>
      <c r="G14" s="88"/>
      <c r="H14" s="88"/>
      <c r="I14" s="1210"/>
      <c r="J14" s="1210"/>
      <c r="K14" s="1210"/>
      <c r="L14" s="54"/>
    </row>
    <row r="15" spans="1:12" ht="12.75" customHeight="1">
      <c r="B15" s="1207" t="str">
        <f>IF('Język - Language'!$B$30="Polski","Ograniczenie ilości odsłon reklamy do pojedynczego użytkownika","Capping ad to single users")</f>
        <v>Ograniczenie ilości odsłon reklamy do pojedynczego użytkownika</v>
      </c>
      <c r="C15" s="1207"/>
      <c r="D15" s="158" t="s">
        <v>444</v>
      </c>
      <c r="F15" s="88"/>
      <c r="G15" s="88"/>
      <c r="H15" s="88"/>
      <c r="I15" s="1210"/>
      <c r="J15" s="1210"/>
      <c r="K15" s="1210"/>
      <c r="L15" s="54"/>
    </row>
    <row r="16" spans="1:12" ht="12.75" customHeight="1">
      <c r="B16" s="1197" t="str">
        <f>IF('Język - Language'!$B$30="Polski","Targetowanie po operatorach (Play, Plus, T-mobile, Orange)","Directing ad to users who use Play, Plus, T-mobile or Orange provider ")</f>
        <v>Targetowanie po operatorach (Play, Plus, T-mobile, Orange)</v>
      </c>
      <c r="C16" s="1198"/>
      <c r="D16" s="158" t="s">
        <v>269</v>
      </c>
      <c r="F16" s="88"/>
      <c r="G16" s="88"/>
      <c r="H16" s="88"/>
      <c r="I16" s="159"/>
      <c r="J16" s="159"/>
      <c r="K16" s="159"/>
      <c r="L16" s="54"/>
    </row>
    <row r="17" spans="2:12" ht="12.75" customHeight="1">
      <c r="B17" s="1197" t="str">
        <f>IF('Język - Language'!$B$30="Polski","Targetowanie po dostawcy Internetu (tylko display, wymagane 10 dni roboczych na przygotowanie)","Directing ad to users who use selected internet provider (applicable to display only; 10 working days earlier)")</f>
        <v>Targetowanie po dostawcy Internetu (tylko display, wymagane 10 dni roboczych na przygotowanie)</v>
      </c>
      <c r="C17" s="1198"/>
      <c r="D17" s="158" t="s">
        <v>272</v>
      </c>
      <c r="E17" s="17"/>
      <c r="F17" s="88"/>
      <c r="G17" s="88"/>
      <c r="H17" s="88"/>
      <c r="I17" s="1224"/>
      <c r="J17" s="1224"/>
      <c r="K17" s="1224"/>
      <c r="L17" s="54"/>
    </row>
    <row r="18" spans="2:12" ht="12.75" customHeight="1">
      <c r="B18" s="1208" t="str">
        <f>IF('Język - Language'!$B$30="Polski","Wideo w kreacji ","Adding video in creative")</f>
        <v xml:space="preserve">Wideo w kreacji </v>
      </c>
      <c r="C18" s="1208"/>
      <c r="D18" s="158" t="s">
        <v>269</v>
      </c>
      <c r="E18" s="17"/>
      <c r="F18" s="88"/>
      <c r="G18" s="88"/>
      <c r="H18" s="88"/>
      <c r="I18" s="160"/>
      <c r="J18" s="160"/>
      <c r="K18" s="160"/>
      <c r="L18" s="54"/>
    </row>
    <row r="19" spans="2:12" ht="12.75" customHeight="1">
      <c r="B19" s="1208" t="str">
        <f>IF('Język - Language'!$B$30="Polski","Gwarancja pierwszej pozycji w bloku reklamowym","A guarantee of the first ad position in advertising/placement block")</f>
        <v>Gwarancja pierwszej pozycji w bloku reklamowym</v>
      </c>
      <c r="C19" s="1208"/>
      <c r="D19" s="158" t="s">
        <v>445</v>
      </c>
      <c r="E19" s="17"/>
      <c r="F19" s="88"/>
      <c r="G19" s="88"/>
      <c r="H19" s="88"/>
      <c r="I19" s="1224"/>
      <c r="J19" s="1224"/>
      <c r="K19" s="1224"/>
      <c r="L19" s="54"/>
    </row>
    <row r="20" spans="2:12" ht="12.75" customHeight="1">
      <c r="B20" s="1208" t="str">
        <f>IF('Język - Language'!$B$30="Polski","Emisja wyłącznie na wybranej części serwisu","Displaying ad in selected pages of a given site")</f>
        <v>Emisja wyłącznie na wybranej części serwisu</v>
      </c>
      <c r="C20" s="1208"/>
      <c r="D20" s="158" t="s">
        <v>269</v>
      </c>
      <c r="F20" s="88"/>
      <c r="G20" s="88"/>
      <c r="H20" s="88"/>
      <c r="I20" s="1210"/>
      <c r="J20" s="1210"/>
      <c r="K20" s="1210"/>
      <c r="L20" s="54"/>
    </row>
    <row r="21" spans="2:12" ht="12.75" customHeight="1">
      <c r="B21" s="1197" t="str">
        <f>IF('Język - Language'!$B$30="Polski","Tapeta: klikalna / animowana / interaktywna / z kurtyną","Clicable / animated watermark")</f>
        <v>Tapeta: klikalna / animowana / interaktywna / z kurtyną</v>
      </c>
      <c r="C21" s="1198"/>
      <c r="D21" s="158" t="s">
        <v>269</v>
      </c>
      <c r="E21" s="17"/>
      <c r="F21" s="88"/>
      <c r="G21" s="88"/>
      <c r="H21" s="88"/>
      <c r="I21" s="1210"/>
      <c r="J21" s="1210"/>
      <c r="K21" s="1210"/>
      <c r="L21" s="54"/>
    </row>
    <row r="22" spans="2:12" ht="12.75" customHeight="1">
      <c r="B22" s="1208" t="str">
        <f>IF('Język - Language'!$B$30="Polski","Wyświetlanie kreacji reklamowych w określonej sekwencji","Displaying ads sequentionally")</f>
        <v>Wyświetlanie kreacji reklamowych w określonej sekwencji</v>
      </c>
      <c r="C22" s="1208"/>
      <c r="D22" s="158" t="s">
        <v>265</v>
      </c>
      <c r="F22" s="88"/>
      <c r="G22" s="88"/>
      <c r="H22" s="88"/>
      <c r="I22" s="1210"/>
      <c r="J22" s="1210"/>
      <c r="K22" s="1210"/>
      <c r="L22" s="54"/>
    </row>
    <row r="23" spans="2:12" ht="12.75" customHeight="1">
      <c r="B23" s="1207" t="str">
        <f>IF('Język - Language'!$B$30="Polski","Logo drugiego klienta w kreacji","Adding second brand in a creative")</f>
        <v>Logo drugiego klienta w kreacji</v>
      </c>
      <c r="C23" s="1207"/>
      <c r="D23" s="158" t="s">
        <v>267</v>
      </c>
      <c r="F23" s="88"/>
      <c r="G23" s="88"/>
      <c r="H23" s="88"/>
      <c r="I23" s="1210"/>
      <c r="J23" s="1210"/>
      <c r="K23" s="1210"/>
    </row>
    <row r="24" spans="2:12" ht="12.75" customHeight="1">
      <c r="B24" s="1207" t="str">
        <f>IF('Język - Language'!$B$30="Polski","Każde następne logo w kreacji","Further brands in a creative")</f>
        <v>Każde następne logo w kreacji</v>
      </c>
      <c r="C24" s="1207"/>
      <c r="D24" s="158" t="s">
        <v>265</v>
      </c>
      <c r="E24" s="55"/>
      <c r="F24" s="88"/>
      <c r="G24" s="88"/>
      <c r="H24" s="88"/>
    </row>
    <row r="25" spans="2:12" ht="12.75" customHeight="1">
      <c r="B25" s="1207" t="str">
        <f>IF('Język - Language'!$B$30="Polski","Przekroczenie wagi kreacji za każdy procent przekroczenia","Exceeding the ad weight for each per cent in excess")</f>
        <v>Przekroczenie wagi kreacji za każdy procent przekroczenia</v>
      </c>
      <c r="C25" s="1207"/>
      <c r="D25" s="158" t="s">
        <v>446</v>
      </c>
      <c r="E25" s="17"/>
      <c r="F25" s="88"/>
      <c r="G25" s="88"/>
      <c r="H25" s="88"/>
    </row>
    <row r="26" spans="2:12" ht="12.75" customHeight="1">
      <c r="B26" s="1197" t="str">
        <f>IF('Język - Language'!$B$30="Polski","Parallaxa w kreacji (emisja formatu z efektem parallaxy)","Parallax in a creative")</f>
        <v>Parallaxa w kreacji (emisja formatu z efektem parallaxy)</v>
      </c>
      <c r="C26" s="1198"/>
      <c r="D26" s="158" t="s">
        <v>444</v>
      </c>
      <c r="E26" s="17"/>
      <c r="F26" s="88"/>
      <c r="G26" s="88"/>
      <c r="H26" s="88"/>
    </row>
    <row r="27" spans="2:12" ht="12.75" customHeight="1">
      <c r="B27" s="1197" t="str">
        <f>IF('Język - Language'!$B$30="Polski","Karuzela, Scroller, Slider, Cube w kreacji oraz expandowanie formy reklamowej","Carousel, Scroller, Slider, Cube in a creative and expanding of ads")</f>
        <v>Karuzela, Scroller, Slider, Cube w kreacji oraz expandowanie formy reklamowej</v>
      </c>
      <c r="C27" s="1198"/>
      <c r="D27" s="158" t="s">
        <v>269</v>
      </c>
      <c r="E27" s="17"/>
      <c r="F27" s="88"/>
      <c r="G27" s="88"/>
      <c r="H27" s="88"/>
    </row>
    <row r="28" spans="2:12" ht="12.75" customHeight="1">
      <c r="B28" s="1197" t="str">
        <f>IF('Język - Language'!$B$30="Polski","Karuzela XL","Carousel XL")</f>
        <v>Karuzela XL</v>
      </c>
      <c r="C28" s="1198"/>
      <c r="D28" s="158" t="s">
        <v>272</v>
      </c>
      <c r="F28" s="88"/>
      <c r="G28" s="88"/>
      <c r="H28" s="88"/>
    </row>
    <row r="29" spans="2:12" ht="12.75" customHeight="1">
      <c r="B29" s="1207" t="str">
        <f>IF('Język - Language'!$B$30="Polski","Mega formaty","Mega Formats")</f>
        <v>Mega formaty</v>
      </c>
      <c r="C29" s="1207"/>
      <c r="D29" s="118" t="str">
        <f>IF('Język - Language'!$B$30="Polski","+50% do ceny formy podstawowej","+50% to basic format price")</f>
        <v>+50% do ceny formy podstawowej</v>
      </c>
      <c r="F29" s="88"/>
      <c r="G29" s="88"/>
      <c r="H29" s="88"/>
    </row>
    <row r="30" spans="2:12" ht="12.75" customHeight="1">
      <c r="B30" s="1208" t="str">
        <f>IF('Język - Language'!$B$30="Polski","Połączenie dwóch form reklamowych","Mixing two ads")</f>
        <v>Połączenie dwóch form reklamowych</v>
      </c>
      <c r="C30" s="1208"/>
      <c r="D30" s="118" t="str">
        <f>IF('Język - Language'!$B$30="Polski","łącznie 150% ceny droższej formy","total of 150% of the price of most expensive format")</f>
        <v>łącznie 150% ceny droższej formy</v>
      </c>
      <c r="F30" s="88"/>
      <c r="G30" s="88"/>
      <c r="H30" s="88"/>
    </row>
    <row r="31" spans="2:12" ht="12.75" customHeight="1">
      <c r="B31" s="1197" t="str">
        <f>IF('Język - Language'!$B$30="Polski","Zmiana kreacji w trakcie trwania kampanii display i w mailingu","Changing creative in display and mailing")</f>
        <v>Zmiana kreacji w trakcie trwania kampanii display i w mailingu</v>
      </c>
      <c r="C31" s="1198"/>
      <c r="D31" s="118" t="str">
        <f>IF('Język - Language'!$B$30="Polski","+10% za każdą kreację","+10% for each creative")</f>
        <v>+10% za każdą kreację</v>
      </c>
      <c r="F31" s="88"/>
      <c r="G31" s="88"/>
      <c r="H31" s="88"/>
    </row>
    <row r="32" spans="2:12" ht="12.75" customHeight="1">
      <c r="B32" s="1197" t="str">
        <f>IF('Język - Language'!$B$30="Polski","Rich Media w kreacji","Rich Media in creation")</f>
        <v>Rich Media w kreacji</v>
      </c>
      <c r="C32" s="1198"/>
      <c r="D32" s="158" t="s">
        <v>447</v>
      </c>
      <c r="F32" s="88"/>
      <c r="G32" s="88"/>
      <c r="H32" s="88"/>
    </row>
    <row r="33" spans="1:6" ht="12.75" customHeight="1">
      <c r="B33" s="1206" t="str">
        <f>IF('Język - Language'!$B$30="Polski","Reklama piwa","Beer advertising")</f>
        <v>Reklama piwa</v>
      </c>
      <c r="C33" s="1206"/>
      <c r="D33" s="120" t="s">
        <v>448</v>
      </c>
    </row>
    <row r="34" spans="1:6" ht="12.75" customHeight="1">
      <c r="B34" s="1209" t="str">
        <f>IF('Język - Language'!$B$30="Polski","Targetowanie demograficzne","Demographic targeting")</f>
        <v>Targetowanie demograficzne</v>
      </c>
      <c r="C34" s="1209"/>
      <c r="D34" s="118" t="str">
        <f>IF('Język - Language'!$B$30="Polski","+25% za każde kryterium","+25% for each criterion")</f>
        <v>+25% za każde kryterium</v>
      </c>
      <c r="F34" s="56"/>
    </row>
    <row r="35" spans="1:6" ht="12.75" customHeight="1">
      <c r="B35" s="1208" t="str">
        <f>IF('Język - Language'!$B$30="Polski","Targetowanie geograficzne","Geographic targeting")</f>
        <v>Targetowanie geograficzne</v>
      </c>
      <c r="C35" s="1208"/>
      <c r="D35" s="118" t="str">
        <f>IF('Język - Language'!$B$30="Polski","+50% za każde kryterium","+50% for each criterion")</f>
        <v>+50% za każde kryterium</v>
      </c>
      <c r="F35" s="56"/>
    </row>
    <row r="36" spans="1:6" ht="12.75" customHeight="1">
      <c r="B36" s="1197" t="str">
        <f>IF('Język - Language'!$B$30="Polski","Targetowanie WP Trapping (docieranie do użytkownika w konkretnych lokalizacjach, np. centra handlowe)","WP Trapping Targeting (reaching the user in specific locations, e.g. shopping centers)")</f>
        <v>Targetowanie WP Trapping (docieranie do użytkownika w konkretnych lokalizacjach, np. centra handlowe)</v>
      </c>
      <c r="C36" s="1198"/>
      <c r="D36" s="158" t="s">
        <v>272</v>
      </c>
      <c r="F36" s="56"/>
    </row>
    <row r="37" spans="1:6" ht="12.75" customHeight="1">
      <c r="B37" s="1207" t="str">
        <f>IF('Język - Language'!$B$30="Polski","Targetowanie po kategoriach IAB (na wybranej powierzchni)","IAB categories targeting")</f>
        <v>Targetowanie po kategoriach IAB (na wybranej powierzchni)</v>
      </c>
      <c r="C37" s="1207"/>
      <c r="D37" s="118" t="str">
        <f>IF('Język - Language'!$B$30="Polski","+25% za każde kryterium","+25% for each criterion")</f>
        <v>+25% za każde kryterium</v>
      </c>
      <c r="F37" s="57"/>
    </row>
    <row r="38" spans="1:6" ht="12.75" customHeight="1">
      <c r="B38" s="1207" t="str">
        <f>IF('Język - Language'!$B$30="Polski","Retargetowanie","Retargeting")</f>
        <v>Retargetowanie</v>
      </c>
      <c r="C38" s="1207"/>
      <c r="D38" s="121" t="s">
        <v>272</v>
      </c>
      <c r="E38" s="17"/>
    </row>
    <row r="39" spans="1:6" ht="12.75" customHeight="1">
      <c r="B39" s="1197" t="str">
        <f>IF('Język - Language'!$B$30="Polski","Retail Dniówka","Daily retail offer")</f>
        <v>Retail Dniówka</v>
      </c>
      <c r="C39" s="1198"/>
      <c r="D39" s="121" t="s">
        <v>444</v>
      </c>
      <c r="E39" s="17"/>
    </row>
    <row r="40" spans="1:6" ht="12.75" customHeight="1">
      <c r="B40" s="1208" t="str">
        <f>IF('Język - Language'!$B$30="Polski","Wybór emisji tylko na jednym portalu","Selecting either WP or O2 (display and mailing)")</f>
        <v>Wybór emisji tylko na jednym portalu</v>
      </c>
      <c r="C40" s="1208"/>
      <c r="D40" s="121" t="s">
        <v>265</v>
      </c>
    </row>
    <row r="41" spans="1:6" ht="12.75" customHeight="1">
      <c r="B41" s="1208" t="str">
        <f>IF('Język - Language'!$B$30="Polski","Optymalizacja big data w mailingach","Big data optimalization")</f>
        <v>Optymalizacja big data w mailingach</v>
      </c>
      <c r="C41" s="1208"/>
      <c r="D41" s="122" t="s">
        <v>269</v>
      </c>
    </row>
    <row r="42" spans="1:6" ht="25.5" customHeight="1">
      <c r="B42" s="1022" t="str">
        <f>IF('Język - Language'!$B$30="Polski","DODATKOWE OPCJE W MAILINGU","MAILING ADDITIONAL OPTIONS")</f>
        <v>DODATKOWE OPCJE W MAILINGU</v>
      </c>
      <c r="C42" s="1022"/>
      <c r="D42" s="72" t="str">
        <f>IF('Język - Language'!$B$30="Polski","DOPŁATA","EXTRA CHARGE")</f>
        <v>DOPŁATA</v>
      </c>
    </row>
    <row r="43" spans="1:6" ht="12.75" customHeight="1">
      <c r="B43" s="1209" t="str">
        <f>IF('Język - Language'!$B$30="Polski","Mailing do bazy użytkowników wybranego portalu (tylko o2.pl lub tylko WP.pl)","Advertising mailing to o2 email services only or WP email services only")</f>
        <v>Mailing do bazy użytkowników wybranego portalu (tylko o2.pl lub tylko WP.pl)</v>
      </c>
      <c r="C43" s="1209"/>
      <c r="D43" s="119" t="s">
        <v>265</v>
      </c>
    </row>
    <row r="44" spans="1:6" ht="12.75" customHeight="1">
      <c r="B44" s="1197" t="str">
        <f>IF('Język - Language'!$B$30="Polski","Odznaczanie bazy mailingowej","Odznaczanie bazy mailingowej")</f>
        <v>Odznaczanie bazy mailingowej</v>
      </c>
      <c r="C44" s="1198"/>
      <c r="D44" s="123" t="s">
        <v>269</v>
      </c>
      <c r="F44" s="49"/>
    </row>
    <row r="45" spans="1:6" ht="12.75" customHeight="1">
      <c r="A45" s="93"/>
      <c r="B45" s="1197" t="str">
        <f>IF('Język - Language'!$B$30="Polski","Wysyłka mailingu w częściach - za drugą i każdą następną część","Mailing in parts - for second and every next part")</f>
        <v>Wysyłka mailingu w częściach - za drugą i każdą następną część</v>
      </c>
      <c r="C45" s="1198"/>
      <c r="D45" s="121" t="s">
        <v>265</v>
      </c>
    </row>
    <row r="46" spans="1:6" ht="12.75" customHeight="1">
      <c r="A46" s="93"/>
      <c r="B46" s="1197" t="str">
        <f>IF('Język - Language'!$B$30="Polski","Retargetowanie mailingu","Retargeted mailing")</f>
        <v>Retargetowanie mailingu</v>
      </c>
      <c r="C46" s="1198"/>
      <c r="D46" s="121" t="s">
        <v>272</v>
      </c>
    </row>
    <row r="47" spans="1:6" ht="12.75" customHeight="1">
      <c r="A47" s="93"/>
      <c r="B47" s="1197" t="str">
        <f>IF('Język - Language'!$B$30="Polski","Personalizacja mailingu WP (login, imię, nazwisko)","Personalization in WP Mailing (login, name, surname)")</f>
        <v>Personalizacja mailingu WP (login, imię, nazwisko)</v>
      </c>
      <c r="C47" s="1198"/>
      <c r="D47" s="121" t="s">
        <v>269</v>
      </c>
    </row>
    <row r="48" spans="1:6" ht="12.75" customHeight="1">
      <c r="B48" s="1197" t="str">
        <f>IF('Język - Language'!$B$30="Polski","Dopłata za TG dotyczący produktów alkoholowych (inne niż piwo)","Special target to advertise alcoholic products (other than beer)")</f>
        <v>Dopłata za TG dotyczący produktów alkoholowych (inne niż piwo)</v>
      </c>
      <c r="C48" s="1198"/>
      <c r="D48" s="121" t="s">
        <v>269</v>
      </c>
    </row>
    <row r="49" spans="2:27" ht="12.75" customHeight="1">
      <c r="B49" s="1197" t="str">
        <f>IF('Język - Language'!$B$30="Polski","Podświetlenie / wyróżnienie","Backlighting / highlighting")</f>
        <v>Podświetlenie / wyróżnienie</v>
      </c>
      <c r="C49" s="1198"/>
      <c r="D49" s="121" t="s">
        <v>272</v>
      </c>
    </row>
    <row r="50" spans="2:27" ht="12.75" customHeight="1">
      <c r="B50" s="1197" t="str">
        <f>IF('Język - Language'!$B$30="Polski","Mailing wysyłany na urządzenia mobilne","Mailing dispatched only to mobile devices")</f>
        <v>Mailing wysyłany na urządzenia mobilne</v>
      </c>
      <c r="C50" s="1198"/>
      <c r="D50" s="121" t="s">
        <v>272</v>
      </c>
    </row>
    <row r="51" spans="2:27" ht="12.75" customHeight="1">
      <c r="B51" s="1197" t="str">
        <f>IF('Język - Language'!$B$30="Polski","Dopłata za dodatkowe 10kB","Additional 10kB of ad weight")</f>
        <v>Dopłata za dodatkowe 10kB</v>
      </c>
      <c r="C51" s="1198"/>
      <c r="D51" s="121" t="s">
        <v>449</v>
      </c>
    </row>
    <row r="52" spans="2:27" ht="12.75" customHeight="1">
      <c r="B52" s="1197" t="str">
        <f>IF('Język - Language'!$B$30="Polski","Video Mailing do 1,5 MB","Video Mailing up to 1,5 MB")</f>
        <v>Video Mailing do 1,5 MB</v>
      </c>
      <c r="C52" s="1198"/>
      <c r="D52" s="121" t="s">
        <v>269</v>
      </c>
    </row>
    <row r="53" spans="2:27" ht="12.75" customHeight="1">
      <c r="B53" s="1215" t="str">
        <f>IF('Język - Language'!$B$30="Polski","Optymalizacja big data w mailingach","Big data optimization in Mailing")</f>
        <v>Optymalizacja big data w mailingach</v>
      </c>
      <c r="C53" s="1216"/>
      <c r="D53" s="124" t="s">
        <v>269</v>
      </c>
    </row>
    <row r="54" spans="2:27" ht="12.75" customHeight="1">
      <c r="B54" s="113"/>
      <c r="C54" s="113"/>
      <c r="D54" s="125"/>
    </row>
    <row r="55" spans="2:27" ht="25.5" customHeight="1">
      <c r="B55" s="1203" t="str">
        <f>IF('Język - Language'!$B$30="Polski","KRYTERIA TARGETOWANIA KAMPANII DISPLAY ORAZ MAILINGU","TARGETING CRITERIA FOR DISPLAY AND MAILING CAMPAIGNS")</f>
        <v>KRYTERIA TARGETOWANIA KAMPANII DISPLAY ORAZ MAILINGU</v>
      </c>
      <c r="C55" s="1203"/>
      <c r="D55" s="1204"/>
      <c r="E55" s="8"/>
      <c r="F55" s="8"/>
      <c r="G55" s="8"/>
    </row>
    <row r="56" spans="2:27" ht="25.5">
      <c r="B56" s="578" t="str">
        <f>IF('Język - Language'!$B$30="Polski","TARGETOWANIE DEMOGRAFICZNE","DEMOGRAPHIC TARGETING")</f>
        <v>TARGETOWANIE DEMOGRAFICZNE</v>
      </c>
      <c r="C56" s="1213" t="str">
        <f>IF('Język - Language'!$B$30="Polski","PARAMETRY TARGETOWANIA","TARGETING PARAMETERS")</f>
        <v>PARAMETRY TARGETOWANIA</v>
      </c>
      <c r="D56" s="1214"/>
      <c r="E56" s="9"/>
      <c r="F56" s="9"/>
      <c r="G56" s="9"/>
    </row>
    <row r="57" spans="2:27" ht="25.5" customHeight="1">
      <c r="B57" s="126" t="str">
        <f>IF('Język - Language'!$B$30="Polski","PŁEĆ","GENDER")</f>
        <v>PŁEĆ</v>
      </c>
      <c r="C57" s="1199" t="str">
        <f>IF('Język - Language'!$B$30="Polski","kobieta, mężczyzna","woman, man")</f>
        <v>kobieta, mężczyzna</v>
      </c>
      <c r="D57" s="1200"/>
      <c r="E57" s="50"/>
      <c r="F57" s="50"/>
      <c r="G57" s="50"/>
    </row>
    <row r="58" spans="2:27" ht="25.5" customHeight="1">
      <c r="B58" s="127" t="str">
        <f>IF('Język - Language'!$B$30="Polski","WIEK","AGE")</f>
        <v>WIEK</v>
      </c>
      <c r="C58" s="1220" t="str">
        <f>IF('Język - Language'!$B$30="Polski","dowolny przedział wiekowy","number of years")</f>
        <v>dowolny przedział wiekowy</v>
      </c>
      <c r="D58" s="1221"/>
      <c r="E58" s="50"/>
      <c r="F58" s="50"/>
      <c r="G58" s="50"/>
    </row>
    <row r="59" spans="2:27" ht="25.5" customHeight="1">
      <c r="B59" s="127" t="str">
        <f>IF('Język - Language'!$B$30="Polski","WYKSZTAŁCENIE","EDUCATION")</f>
        <v>WYKSZTAŁCENIE</v>
      </c>
      <c r="C59" s="1201" t="str">
        <f>IF('Język - Language'!$B$30="Polski","bez wykształcenia, podstawowe, zawodowe, średnie, wyższe","no education, basic, professional, high school, BA / MA")</f>
        <v>bez wykształcenia, podstawowe, zawodowe, średnie, wyższe</v>
      </c>
      <c r="D59" s="1202"/>
      <c r="E59" s="32"/>
      <c r="F59" s="32"/>
      <c r="G59" s="32"/>
    </row>
    <row r="60" spans="2:27" ht="25.5" customHeight="1">
      <c r="B60" s="127" t="str">
        <f>IF('Język - Language'!$B$30="Polski","ZAWÓD","PROFESSION")</f>
        <v>ZAWÓD</v>
      </c>
      <c r="C60" s="1201" t="str">
        <f>IF('Język - Language'!$B$30="Polski","wyższy urzędnik / kierownik, wolny zawód / specjalista, prywatny przedsiębiorca / biznesmen, rolnik, robotnik, pracownik usług / administracja / technik, gospodyni domowa, student, uczeń, emeryt / rencista, bezrobotny","senior clerk / manager, freelancer / specialist, entrepreneur / businessman, farmer, laborer, services / administration employee / technician, housewife, student, pupil, old age pensioner / sickness pensioner, unemployed")</f>
        <v>wyższy urzędnik / kierownik, wolny zawód / specjalista, prywatny przedsiębiorca / biznesmen, rolnik, robotnik, pracownik usług / administracja / technik, gospodyni domowa, student, uczeń, emeryt / rencista, bezrobotny</v>
      </c>
      <c r="D60" s="1202"/>
      <c r="E60" s="32"/>
      <c r="F60" s="32"/>
      <c r="G60" s="32"/>
    </row>
    <row r="61" spans="2:27" ht="25.5" customHeight="1">
      <c r="B61" s="127" t="str">
        <f>IF('Język - Language'!$B$30="Polski","ZAINTERESOWANIA","INTERESTS")</f>
        <v>ZAINTERESOWANIA</v>
      </c>
      <c r="C61" s="1201" t="str">
        <f>IF('Język - Language'!$B$30="Polski","dom i rodzina, biznes, gry komputerowe, komputery i internet, kultura i sztuka, muzyka, film, książki, motoryzacja, nauka i technika, polityka, podróże, sport, turystyka, zdrowie","family and home, business, computer games, computers and the internet, arts, music, films, books, automotive industry, science and technology, politics, travel, sport, tourism, health")</f>
        <v>dom i rodzina, biznes, gry komputerowe, komputery i internet, kultura i sztuka, muzyka, film, książki, motoryzacja, nauka i technika, polityka, podróże, sport, turystyka, zdrowie</v>
      </c>
      <c r="D61" s="1202"/>
      <c r="E61" s="32"/>
      <c r="F61" s="32"/>
      <c r="G61" s="32"/>
    </row>
    <row r="62" spans="2:27" ht="40.5" customHeight="1">
      <c r="B62" s="128" t="str">
        <f>IF('Język - Language'!$B$30="Polski","BRANŻA","OCCUPATIONAL AREA")</f>
        <v>BRANŻA</v>
      </c>
      <c r="C62" s="1195" t="str">
        <f>CONCATENATE($AA$62,$AA$63)</f>
        <v>budownictwo / architektura, dystrybucja / logistyka, edukacja / badania naukowe, finanse / bankowość / ubezpieczenia, gastronomia / hotelarstwo / turystyka / sport, handel hurtowy i detaliczny, instytucje rządowe i samorządowe, łączność / telekomunikacja, media / kultura i sztuka / rozrywka, medycyna / ochrona zdrowia, produkcja, rachunkowość / audyt, usługi dla firm / ludności, usługi internetowe/komputerowe, usługi prawne / konsulting</v>
      </c>
      <c r="D62" s="1196"/>
      <c r="E62" s="32"/>
      <c r="F62" s="32"/>
      <c r="G62" s="32"/>
      <c r="AA62" s="2" t="str">
        <f>IF('Język - Language'!$B$30="Polski","budownictwo / architektura, dystrybucja / logistyka, edukacja / badania naukowe, finanse / bankowość / ubezpieczenia, gastronomia / hotelarstwo / turystyka / sport, handel hurtowy i detaliczny, instytucje rządowe i samorządowe, łączność /","housing / architecture, distribution / logistics, education / scientific research, banking / finance / insurance, gastronomy / accommodation / tourism / sport, retail and wholesale trading, governmental institutions, connectivity /")</f>
        <v>budownictwo / architektura, dystrybucja / logistyka, edukacja / badania naukowe, finanse / bankowość / ubezpieczenia, gastronomia / hotelarstwo / turystyka / sport, handel hurtowy i detaliczny, instytucje rządowe i samorządowe, łączność /</v>
      </c>
    </row>
    <row r="63" spans="2:27" ht="25.5">
      <c r="B63" s="578" t="str">
        <f>IF('Język - Language'!$B$30="Polski","TARGETOWANIE GEOGRAFICZNE","GEOTARGETING")</f>
        <v>TARGETOWANIE GEOGRAFICZNE</v>
      </c>
      <c r="C63" s="1213" t="str">
        <f>IF('Język - Language'!$B$30="Polski","PARAMETRY TARGETOWANIA","TARGETING PARAMETERS")</f>
        <v>PARAMETRY TARGETOWANIA</v>
      </c>
      <c r="D63" s="1214"/>
      <c r="E63" s="32"/>
      <c r="F63" s="32"/>
      <c r="G63" s="32"/>
      <c r="AA63" s="2" t="str">
        <f>IF('Język - Language'!$B$30="Polski"," telekomunikacja, media / kultura i sztuka / rozrywka, medycyna / ochrona zdrowia, produkcja, rachunkowość / audyt, usługi dla firm / ludności, usługi internetowe/komputerowe, usługi prawne / konsulting"," telecommunication, media / arts and culture / entertainment, medicine / health security, production, accounting / auditing, services B2B / B2C, computer / internet services, legal services / consulting)")</f>
        <v xml:space="preserve"> telekomunikacja, media / kultura i sztuka / rozrywka, medycyna / ochrona zdrowia, produkcja, rachunkowość / audyt, usługi dla firm / ludności, usługi internetowe/komputerowe, usługi prawne / konsulting</v>
      </c>
    </row>
    <row r="64" spans="2:27" ht="25.5" customHeight="1">
      <c r="B64" s="126" t="str">
        <f>IF('Język - Language'!$B$30="Polski","WOJEWÓDZTWO","PROVINCE")</f>
        <v>WOJEWÓDZTWO</v>
      </c>
      <c r="C64" s="1222" t="str">
        <f>IF('Język - Language'!$B$30="Polski","wybrane województwo","selected province")</f>
        <v>wybrane województwo</v>
      </c>
      <c r="D64" s="1223"/>
      <c r="E64" s="8"/>
      <c r="F64" s="8"/>
      <c r="G64" s="8"/>
    </row>
    <row r="65" spans="2:27" ht="25.5" customHeight="1">
      <c r="B65" s="127" t="str">
        <f>IF('Język - Language'!$B$30="Polski","MIASTO","CITY")</f>
        <v>MIASTO</v>
      </c>
      <c r="C65" s="1201" t="str">
        <f>IF('Język - Language'!$B$30="Polski","wybrane miasto","selected city")</f>
        <v>wybrane miasto</v>
      </c>
      <c r="D65" s="1202"/>
      <c r="E65" s="51"/>
      <c r="F65" s="51"/>
      <c r="G65" s="51"/>
    </row>
    <row r="66" spans="2:27">
      <c r="B66" s="142"/>
      <c r="C66" s="142"/>
      <c r="D66" s="142"/>
      <c r="E66" s="51"/>
      <c r="F66" s="51"/>
      <c r="G66" s="51"/>
    </row>
    <row r="67" spans="2:27">
      <c r="B67" s="142"/>
      <c r="C67" s="142"/>
      <c r="D67" s="142"/>
    </row>
    <row r="68" spans="2:27" ht="25.5" customHeight="1">
      <c r="B68" s="1203" t="str">
        <f>IF('Język - Language'!$B$30="Polski","KRYTERIA TARGETOWANIA KAMPANII DATAPOWER","DATAPOWER TARGETING CRITERIA FOR DISPLAY AND MAILING CAMPAIGNS")</f>
        <v>KRYTERIA TARGETOWANIA KAMPANII DATAPOWER</v>
      </c>
      <c r="C68" s="1203"/>
      <c r="D68" s="1204"/>
    </row>
    <row r="69" spans="2:27" ht="25.5" customHeight="1">
      <c r="B69" s="578" t="str">
        <f>IF('Język - Language'!$B$30="Polski","KATEGORIA","CATEGORY")</f>
        <v>KATEGORIA</v>
      </c>
      <c r="C69" s="578" t="str">
        <f>IF('Język - Language'!$B$30="Polski","SUBKATEGORIE","SUBCATEGORIES")</f>
        <v>SUBKATEGORIE</v>
      </c>
      <c r="D69" s="579" t="str">
        <f>IF('Język - Language'!$B$30="Polski","DOPŁATA","EXTRA CHARGE")</f>
        <v>DOPŁATA</v>
      </c>
      <c r="E69" s="8"/>
      <c r="F69" s="8"/>
      <c r="G69" s="8"/>
    </row>
    <row r="70" spans="2:27" ht="25.5" customHeight="1">
      <c r="B70" s="126" t="str">
        <f>IF('Język - Language'!$B$30="Polski","WPM ZASIĘG","WPM REACH PACKAGE")</f>
        <v>WPM ZASIĘG</v>
      </c>
      <c r="C70" s="297" t="s">
        <v>450</v>
      </c>
      <c r="D70" s="1217" t="s">
        <v>269</v>
      </c>
      <c r="E70" s="9"/>
      <c r="F70" s="9"/>
      <c r="G70" s="9"/>
    </row>
    <row r="71" spans="2:27" ht="25.5" customHeight="1">
      <c r="B71" s="126" t="str">
        <f>IF('Język - Language'!$B$30="Polski","PREMIUM HP","PREMIUM HOME PAGE")</f>
        <v>PREMIUM HP</v>
      </c>
      <c r="C71" s="296" t="s">
        <v>451</v>
      </c>
      <c r="D71" s="1218"/>
      <c r="E71" s="50"/>
      <c r="F71" s="50"/>
      <c r="G71" s="50"/>
    </row>
    <row r="72" spans="2:27" ht="25.5" customHeight="1">
      <c r="B72" s="126" t="str">
        <f>IF('Język - Language'!$B$30="Polski","BIZNES","BUSINESS")</f>
        <v>BIZNES</v>
      </c>
      <c r="C72" s="291" t="s">
        <v>452</v>
      </c>
      <c r="D72" s="1218"/>
      <c r="E72" s="50"/>
      <c r="F72" s="50"/>
      <c r="G72" s="50"/>
    </row>
    <row r="73" spans="2:27" ht="25.5" customHeight="1">
      <c r="B73" s="127" t="str">
        <f>IF('Język - Language'!$B$30="Polski","INFO I SPORT","NEWS &amp; SPORT")</f>
        <v>INFO I SPORT</v>
      </c>
      <c r="C73" s="292" t="s">
        <v>453</v>
      </c>
      <c r="D73" s="1218"/>
      <c r="E73" s="50"/>
      <c r="F73" s="50"/>
      <c r="G73" s="50"/>
    </row>
    <row r="74" spans="2:27" ht="25.5" customHeight="1">
      <c r="B74" s="127" t="str">
        <f>IF('Język - Language'!$B$30="Polski","MOTORYZACJA","AUTOMOTIVE")</f>
        <v>MOTORYZACJA</v>
      </c>
      <c r="C74" s="293" t="s">
        <v>454</v>
      </c>
      <c r="D74" s="1218"/>
      <c r="E74" s="50"/>
      <c r="F74" s="50"/>
      <c r="G74" s="50"/>
    </row>
    <row r="75" spans="2:27" ht="25.5" customHeight="1">
      <c r="B75" s="127" t="str">
        <f>IF('Język - Language'!$B$30="Polski","ROZRYWKA","ENTERTAINMENT")</f>
        <v>ROZRYWKA</v>
      </c>
      <c r="C75" s="293" t="s">
        <v>455</v>
      </c>
      <c r="D75" s="1218"/>
      <c r="E75" s="32"/>
      <c r="F75" s="32"/>
      <c r="G75" s="32"/>
    </row>
    <row r="76" spans="2:27" ht="25.5" customHeight="1">
      <c r="B76" s="127" t="str">
        <f>IF('Język - Language'!$B$30="Polski","STYL ŻYCIA","LIFESTYLE")</f>
        <v>STYL ŻYCIA</v>
      </c>
      <c r="C76" s="293" t="s">
        <v>456</v>
      </c>
      <c r="D76" s="1218"/>
      <c r="E76" s="32"/>
      <c r="F76" s="32"/>
      <c r="G76" s="32"/>
    </row>
    <row r="77" spans="2:27" ht="25.5" customHeight="1">
      <c r="B77" s="128" t="str">
        <f>IF('Język - Language'!$B$30="Polski","TECHNOLOGIA","TECHNOLOGY")</f>
        <v>TECHNOLOGIA</v>
      </c>
      <c r="C77" s="294" t="s">
        <v>457</v>
      </c>
      <c r="D77" s="1218"/>
      <c r="E77" s="32"/>
      <c r="F77" s="32"/>
      <c r="G77" s="32"/>
    </row>
    <row r="78" spans="2:27" ht="25.5" customHeight="1">
      <c r="B78" s="128" t="str">
        <f>IF('Język - Language'!$B$30="Polski","ZDROWIE I PARENTING","HEALTH &amp; PARENTING")</f>
        <v>ZDROWIE I PARENTING</v>
      </c>
      <c r="C78" s="293" t="s">
        <v>458</v>
      </c>
      <c r="D78" s="1218"/>
      <c r="E78" s="32"/>
      <c r="F78" s="32"/>
      <c r="G78" s="32"/>
      <c r="AA78" s="2" t="str">
        <f>IF('Język - Language'!$B$30="Polski","budownictwo / architektura, dystrybucja / logistyka, edukacja / badania naukowe, finanse / bankowość / ubezpieczenia, gastronomia / hotelarstwo / turystyka / sport, handel hurtowy i detaliczny, instytucje rządowe i samorządowe, łączność /","housing / architecture, distribution / logistics, education / scientific research, banking / finance / insurance, gastronomy / accommodation / tourism / sport, retail and wholesale trading, governmental institutions, connectivity /")</f>
        <v>budownictwo / architektura, dystrybucja / logistyka, edukacja / badania naukowe, finanse / bankowość / ubezpieczenia, gastronomia / hotelarstwo / turystyka / sport, handel hurtowy i detaliczny, instytucje rządowe i samorządowe, łączność /</v>
      </c>
    </row>
    <row r="79" spans="2:27" ht="25.5" customHeight="1">
      <c r="B79" s="128" t="str">
        <f>IF('Język - Language'!$B$30="Polski","PAKIET GEO","GEOTARGETING PACKAGE")</f>
        <v>PAKIET GEO</v>
      </c>
      <c r="C79" s="293" t="s">
        <v>459</v>
      </c>
      <c r="D79" s="1219"/>
      <c r="E79" s="32"/>
      <c r="F79" s="32"/>
      <c r="G79" s="32"/>
      <c r="AA79" s="2" t="str">
        <f>IF('Język - Language'!$B$30="Polski"," telekomunikacja, media / kultura i sztuka / rozrywka, medycyna / ochrona zdrowia, produkcja, rachunkowość / audyt, usługi dla firm / ludności, usługi internetowe/komputerowe, usługi prawne / konsulting"," telecommunication, media / arts and culture / entertainment, medicine / health security, production, accounting / auditing, services B2B / B2C, computer / internet services, legal services / consulting)")</f>
        <v xml:space="preserve"> telekomunikacja, media / kultura i sztuka / rozrywka, medycyna / ochrona zdrowia, produkcja, rachunkowość / audyt, usługi dla firm / ludności, usługi internetowe/komputerowe, usługi prawne / konsulting</v>
      </c>
    </row>
    <row r="80" spans="2:27" ht="40.5" customHeight="1">
      <c r="B80" s="128" t="str">
        <f>IF('Język - Language'!$B$30="Polski","PAKIET PREMIUM","PREMIUM PACKAGE")</f>
        <v>PAKIET PREMIUM</v>
      </c>
      <c r="C80" s="293" t="s">
        <v>460</v>
      </c>
      <c r="D80" s="295" t="s">
        <v>272</v>
      </c>
      <c r="E80" s="32"/>
      <c r="F80" s="32"/>
      <c r="G80" s="32"/>
    </row>
    <row r="81" spans="2:27" ht="52.5" customHeight="1">
      <c r="B81" s="128" t="str">
        <f>IF('Język - Language'!$B$30="Polski","PAKIET PLUS","PLUS PACKAGE")</f>
        <v>PAKIET PLUS</v>
      </c>
      <c r="C81" s="293" t="s">
        <v>461</v>
      </c>
      <c r="D81" s="295" t="s">
        <v>269</v>
      </c>
      <c r="E81" s="32"/>
      <c r="F81" s="32"/>
      <c r="G81" s="32"/>
      <c r="AA81" s="2" t="str">
        <f>IF('Język - Language'!$B$30="Polski"," telekomunikacja, media / kultura i sztuka / rozrywka, medycyna / ochrona zdrowia, produkcja, rachunkowość / audyt, usługi dla firm / ludności, usługi internetowe/komputerowe, usługi prawne / konsulting"," telecommunication, media / arts and culture / entertainment, medicine / health security, production, accounting / auditing, services B2B / B2C, computer / internet services, legal services / consulting)")</f>
        <v xml:space="preserve"> telekomunikacja, media / kultura i sztuka / rozrywka, medycyna / ochrona zdrowia, produkcja, rachunkowość / audyt, usługi dla firm / ludności, usługi internetowe/komputerowe, usługi prawne / konsulting</v>
      </c>
    </row>
    <row r="82" spans="2:27" ht="25.5" customHeight="1">
      <c r="B82" s="142"/>
      <c r="C82" s="142"/>
      <c r="D82" s="142"/>
      <c r="E82" s="32"/>
      <c r="F82" s="32"/>
      <c r="G82" s="32"/>
    </row>
    <row r="83" spans="2:27">
      <c r="B83" s="1212"/>
      <c r="C83" s="1212"/>
      <c r="D83" s="1212"/>
    </row>
    <row r="84" spans="2:27">
      <c r="B84" s="1211" t="str">
        <f>IF('Język - Language'!$B$30="Polski","1. Kliknięcie w wybraną formę reklamową (poza watermarkiem) powoduje automatyczne przejście do reklamowanego serwisu.","1. Clicking in a selected advertising form (except for a watermark) triggers automatic passing to the advertising site.")</f>
        <v>1. Kliknięcie w wybraną formę reklamową (poza watermarkiem) powoduje automatyczne przejście do reklamowanego serwisu.</v>
      </c>
      <c r="C84" s="1211"/>
      <c r="D84" s="1211"/>
    </row>
    <row r="85" spans="2:27" ht="12.75" customHeight="1">
      <c r="B85" s="1211" t="str">
        <f>IF('Język - Language'!$B$30="Polski","2. Liczba kontaktów użytkownika z reklamą oraz liczba kliknięć w wybraną formę reklamową jest rejestrowana w statystykach. Statystyki dostępne są “on line” przez 24 godziny na dobę.","2. The number of times a user is exposed to an advertisement and the number of clicks in a selected advertising form is registered in the records. The statistics are available “on line” 24 hours a day.")</f>
        <v>2. Liczba kontaktów użytkownika z reklamą oraz liczba kliknięć w wybraną formę reklamową jest rejestrowana w statystykach. Statystyki dostępne są “on line” przez 24 godziny na dobę.</v>
      </c>
      <c r="C85" s="1211"/>
      <c r="D85" s="1211"/>
    </row>
    <row r="86" spans="2:27" ht="25.5" customHeight="1">
      <c r="B86" s="1211" t="str">
        <f>IF('Język - Language'!$B$30="Polski","3. Istnieje możliwość, że niektóre serwisy Grupy WP przestaną emitować wybrane formy reklamowe z powodów technicznych. Prosimy o każdorazowe potwierdzenie możliwości emisji reklam w poszczególnych serwisach. ","3. It might happen that certain sites will cease displaying some advertising forms due to technical reasons. This is why the possibility of displaying advertisements in particular sites should be confirmed each and every time.")</f>
        <v xml:space="preserve">3. Istnieje możliwość, że niektóre serwisy Grupy WP przestaną emitować wybrane formy reklamowe z powodów technicznych. Prosimy o każdorazowe potwierdzenie możliwości emisji reklam w poszczególnych serwisach. </v>
      </c>
      <c r="C86" s="1211"/>
      <c r="D86" s="1211"/>
    </row>
    <row r="87" spans="2:27" ht="12.75" customHeight="1">
      <c r="B87" s="1211" t="str">
        <f>IF('Język - Language'!$B$30="Polski","4. Nośniki muszą spełniać warunki techniczne przedstawione w specyfikacji technicznej, pod rygorem nie przyjęcia materiału do emisji","4. The ad forms must comply with the technical conditions set forth in technical specifications; otherwise the material will not be accepted for displaying.")</f>
        <v>4. Nośniki muszą spełniać warunki techniczne przedstawione w specyfikacji technicznej, pod rygorem nie przyjęcia materiału do emisji</v>
      </c>
      <c r="C87" s="1211"/>
      <c r="D87" s="1211"/>
    </row>
    <row r="88" spans="2:27" ht="12.75" customHeight="1">
      <c r="B88" s="1211" t="str">
        <f>IF('Język - Language'!$B$30="Polski","5. Dopłata za każde wybrane kryterium targetowania demograficznego to 25% Wyjątek stanowi geotargetowanie – dopłata +50 %  W przypadku wybrania kilku kryteriów, procenty sumują się.","5. Additional payments for each selected demographic targeting criterion are 25%, with the exception of geotargeting (in this particular case the additional payment is +50 %). If a few criteria are selected, the percentage is summed up.")</f>
        <v>5. Dopłata za każde wybrane kryterium targetowania demograficznego to 25% Wyjątek stanowi geotargetowanie – dopłata +50 %  W przypadku wybrania kilku kryteriów, procenty sumują się.</v>
      </c>
      <c r="C88" s="1211"/>
      <c r="D88" s="1211"/>
    </row>
    <row r="89" spans="2:27" ht="12.75" customHeight="1"/>
  </sheetData>
  <mergeCells count="77">
    <mergeCell ref="I12:K12"/>
    <mergeCell ref="I13:K13"/>
    <mergeCell ref="I22:K22"/>
    <mergeCell ref="B14:C14"/>
    <mergeCell ref="I23:K23"/>
    <mergeCell ref="I19:K19"/>
    <mergeCell ref="B20:C20"/>
    <mergeCell ref="I15:K15"/>
    <mergeCell ref="B19:C19"/>
    <mergeCell ref="I14:K14"/>
    <mergeCell ref="B22:C22"/>
    <mergeCell ref="B16:C16"/>
    <mergeCell ref="B18:C18"/>
    <mergeCell ref="B15:C15"/>
    <mergeCell ref="I17:K17"/>
    <mergeCell ref="I20:K20"/>
    <mergeCell ref="B88:D88"/>
    <mergeCell ref="B83:D83"/>
    <mergeCell ref="B84:D84"/>
    <mergeCell ref="B85:D85"/>
    <mergeCell ref="B51:C51"/>
    <mergeCell ref="C63:D63"/>
    <mergeCell ref="C60:D60"/>
    <mergeCell ref="B53:C53"/>
    <mergeCell ref="B87:D87"/>
    <mergeCell ref="B68:D68"/>
    <mergeCell ref="D70:D79"/>
    <mergeCell ref="B86:D86"/>
    <mergeCell ref="C65:D65"/>
    <mergeCell ref="C56:D56"/>
    <mergeCell ref="C58:D58"/>
    <mergeCell ref="C64:D64"/>
    <mergeCell ref="B48:C48"/>
    <mergeCell ref="B49:C49"/>
    <mergeCell ref="B45:C45"/>
    <mergeCell ref="B46:C46"/>
    <mergeCell ref="B50:C50"/>
    <mergeCell ref="I21:K21"/>
    <mergeCell ref="B42:C42"/>
    <mergeCell ref="B43:C43"/>
    <mergeCell ref="B30:C30"/>
    <mergeCell ref="B27:C27"/>
    <mergeCell ref="B32:C32"/>
    <mergeCell ref="B28:C28"/>
    <mergeCell ref="B36:C36"/>
    <mergeCell ref="B29:C29"/>
    <mergeCell ref="B26:C26"/>
    <mergeCell ref="B21:C21"/>
    <mergeCell ref="B44:C44"/>
    <mergeCell ref="B47:C47"/>
    <mergeCell ref="B40:C40"/>
    <mergeCell ref="B37:C37"/>
    <mergeCell ref="B9:C9"/>
    <mergeCell ref="B17:C17"/>
    <mergeCell ref="B23:C23"/>
    <mergeCell ref="B24:C24"/>
    <mergeCell ref="B41:C41"/>
    <mergeCell ref="B25:C25"/>
    <mergeCell ref="B35:C35"/>
    <mergeCell ref="B33:C33"/>
    <mergeCell ref="B31:C31"/>
    <mergeCell ref="B39:C39"/>
    <mergeCell ref="B34:C34"/>
    <mergeCell ref="B38:C38"/>
    <mergeCell ref="C1:D3"/>
    <mergeCell ref="B11:C11"/>
    <mergeCell ref="B7:C7"/>
    <mergeCell ref="B12:C12"/>
    <mergeCell ref="B13:C13"/>
    <mergeCell ref="B8:C8"/>
    <mergeCell ref="B10:C10"/>
    <mergeCell ref="C62:D62"/>
    <mergeCell ref="B52:C52"/>
    <mergeCell ref="C57:D57"/>
    <mergeCell ref="C59:D59"/>
    <mergeCell ref="B55:D55"/>
    <mergeCell ref="C61:D61"/>
  </mergeCells>
  <pageMargins left="0.7" right="0.7" top="0.75" bottom="0.75" header="0.3" footer="0.3"/>
  <pageSetup paperSize="256" scale="80" fitToHeight="0" orientation="portrait" r:id="rId1"/>
  <ignoredErrors>
    <ignoredError sqref="D43:D50 D52:D53 D32 D38:D41 D70 D80:D81 D10:D28 D36 D8:D9" numberStoredAsText="1"/>
    <ignoredError sqref="D35 B79:B80" 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usz11">
    <tabColor rgb="FFFF0000"/>
  </sheetPr>
  <dimension ref="A1:AY393"/>
  <sheetViews>
    <sheetView zoomScaleNormal="100" workbookViewId="0">
      <selection activeCell="A7" sqref="A7"/>
    </sheetView>
  </sheetViews>
  <sheetFormatPr defaultRowHeight="15"/>
  <cols>
    <col min="3" max="3" width="30.85546875" customWidth="1"/>
    <col min="6" max="6" width="15.5703125" customWidth="1"/>
    <col min="7" max="7" width="9.140625" customWidth="1"/>
    <col min="8" max="8" width="4.85546875" customWidth="1"/>
    <col min="9" max="9" width="4" hidden="1" customWidth="1"/>
    <col min="13" max="13" width="37.42578125" customWidth="1"/>
    <col min="16" max="16" width="18.85546875" customWidth="1"/>
    <col min="17" max="51" width="9.140625" style="11" customWidth="1"/>
  </cols>
  <sheetData>
    <row r="1" spans="1:18" s="11" customFormat="1"/>
    <row r="2" spans="1:18" ht="15" customHeight="1">
      <c r="A2" s="10"/>
      <c r="B2" s="10"/>
      <c r="C2" s="10"/>
      <c r="D2" s="10"/>
      <c r="E2" s="10"/>
      <c r="F2" s="10"/>
      <c r="G2" s="10"/>
      <c r="H2" s="10"/>
      <c r="I2" s="10"/>
      <c r="J2" s="1228"/>
      <c r="K2" s="1228"/>
      <c r="L2" s="1228"/>
      <c r="M2" s="1228"/>
      <c r="N2" s="63"/>
      <c r="O2" s="63"/>
      <c r="P2" s="63"/>
      <c r="Q2" s="63"/>
      <c r="R2" s="63"/>
    </row>
    <row r="3" spans="1:18" ht="15" customHeight="1">
      <c r="A3" s="10"/>
      <c r="B3" s="10"/>
      <c r="C3" s="10"/>
      <c r="D3" s="10"/>
      <c r="E3" s="10"/>
      <c r="F3" s="10"/>
      <c r="G3" s="10"/>
      <c r="H3" s="10"/>
      <c r="I3" s="10"/>
      <c r="J3" s="1228"/>
      <c r="K3" s="1228"/>
      <c r="L3" s="1228"/>
      <c r="M3" s="1228"/>
      <c r="N3" s="63"/>
      <c r="O3" s="63"/>
      <c r="P3" s="63"/>
      <c r="Q3" s="63"/>
      <c r="R3" s="63"/>
    </row>
    <row r="4" spans="1:18">
      <c r="A4" s="10"/>
      <c r="B4" s="10"/>
      <c r="C4" s="10"/>
      <c r="D4" s="10"/>
      <c r="E4" s="10"/>
      <c r="F4" s="10"/>
      <c r="G4" s="10"/>
      <c r="H4" s="10"/>
      <c r="I4" s="10"/>
      <c r="J4" s="1228"/>
      <c r="K4" s="1228"/>
      <c r="L4" s="1228"/>
      <c r="M4" s="1228"/>
      <c r="N4" s="63"/>
      <c r="O4" s="63"/>
      <c r="P4" s="63"/>
      <c r="Q4" s="63"/>
      <c r="R4" s="63"/>
    </row>
    <row r="5" spans="1:18">
      <c r="A5" s="10"/>
      <c r="B5" s="10"/>
      <c r="C5" s="10"/>
      <c r="D5" s="10"/>
      <c r="E5" s="10"/>
      <c r="F5" s="10"/>
      <c r="G5" s="10"/>
      <c r="H5" s="10"/>
      <c r="I5" s="10"/>
      <c r="J5" s="63"/>
      <c r="K5" s="63"/>
      <c r="L5" s="63"/>
      <c r="M5" s="63"/>
      <c r="N5" s="63"/>
      <c r="O5" s="63"/>
      <c r="P5" s="63"/>
      <c r="Q5" s="63"/>
      <c r="R5" s="63"/>
    </row>
    <row r="6" spans="1:18">
      <c r="A6" s="10"/>
      <c r="B6" s="10"/>
      <c r="C6" s="10"/>
      <c r="D6" s="10"/>
      <c r="E6" s="10"/>
      <c r="F6" s="10"/>
      <c r="G6" s="10"/>
      <c r="H6" s="10"/>
      <c r="I6" s="10"/>
      <c r="J6" s="10"/>
      <c r="K6" s="10"/>
      <c r="L6" s="10"/>
      <c r="M6" s="10"/>
      <c r="N6" s="10"/>
      <c r="O6" s="10"/>
      <c r="P6" s="10"/>
    </row>
    <row r="7" spans="1:18">
      <c r="A7" s="10"/>
      <c r="B7" s="10"/>
      <c r="C7" s="10"/>
      <c r="D7" s="10"/>
      <c r="E7" s="10"/>
      <c r="F7" s="10"/>
      <c r="G7" s="10"/>
      <c r="H7" s="10"/>
      <c r="I7" s="10"/>
      <c r="J7" s="10"/>
      <c r="K7" s="10"/>
      <c r="L7" s="10"/>
      <c r="M7" s="10"/>
      <c r="N7" s="10"/>
      <c r="O7" s="10"/>
      <c r="P7" s="10"/>
    </row>
    <row r="8" spans="1:18">
      <c r="A8" s="10"/>
      <c r="B8" s="10"/>
      <c r="C8" s="10"/>
      <c r="D8" s="1225" t="str">
        <f>IF('Język - Language'!$B$30="Polski","Regulamin sprzedaży reklamy","General rules of advertisement sales")</f>
        <v>Regulamin sprzedaży reklamy</v>
      </c>
      <c r="E8" s="1225"/>
      <c r="F8" s="1225"/>
      <c r="G8" s="1226" t="s">
        <v>462</v>
      </c>
      <c r="H8" s="1227"/>
      <c r="I8" s="1227"/>
      <c r="J8" s="1227"/>
      <c r="K8" s="1227"/>
      <c r="L8" s="1227"/>
      <c r="M8" s="1227"/>
      <c r="N8" s="1227"/>
      <c r="O8" s="1227"/>
      <c r="P8" s="1227"/>
    </row>
    <row r="9" spans="1:18">
      <c r="A9" s="10"/>
      <c r="B9" s="10"/>
      <c r="C9" s="10"/>
      <c r="D9" s="26"/>
      <c r="E9" s="26"/>
      <c r="F9" s="26"/>
      <c r="G9" s="27"/>
      <c r="H9" s="27"/>
      <c r="I9" s="27"/>
      <c r="J9" s="27"/>
      <c r="K9" s="27"/>
      <c r="L9" s="27"/>
      <c r="M9" s="27"/>
      <c r="N9" s="27"/>
      <c r="O9" s="27"/>
      <c r="P9" s="27"/>
    </row>
    <row r="10" spans="1:18" ht="57" customHeight="1">
      <c r="A10" s="10"/>
      <c r="B10" s="10"/>
      <c r="C10" s="10"/>
      <c r="D10" s="1231" t="str">
        <f>IF('Język - Language'!$B$30="Polski","Specyfikacja techniczna do pobrania na serwisie Reklama.wp.pl","You can download our technical specification from reklama.wp.pl")</f>
        <v>Specyfikacja techniczna do pobrania na serwisie Reklama.wp.pl</v>
      </c>
      <c r="E10" s="1231"/>
      <c r="F10" s="1231"/>
      <c r="G10" s="1226" t="s">
        <v>462</v>
      </c>
      <c r="H10" s="1227"/>
      <c r="I10" s="1227"/>
      <c r="J10" s="1227"/>
      <c r="K10" s="1227"/>
      <c r="L10" s="1227"/>
      <c r="M10" s="1227"/>
      <c r="N10" s="1227"/>
      <c r="O10" s="1227"/>
      <c r="P10" s="27"/>
    </row>
    <row r="11" spans="1:18" s="11" customFormat="1" ht="47.25" customHeight="1"/>
    <row r="12" spans="1:18" s="11" customFormat="1">
      <c r="D12" s="161"/>
      <c r="E12" s="161"/>
      <c r="F12" s="161"/>
      <c r="G12" s="1232"/>
      <c r="H12" s="1232"/>
      <c r="I12" s="1232"/>
      <c r="J12" s="1232"/>
      <c r="K12" s="1232"/>
      <c r="L12" s="1232"/>
      <c r="M12" s="1232"/>
      <c r="N12" s="1232"/>
      <c r="O12" s="1232"/>
    </row>
    <row r="13" spans="1:18" s="11" customFormat="1">
      <c r="D13" s="12"/>
      <c r="E13" s="12"/>
      <c r="F13" s="12"/>
    </row>
    <row r="14" spans="1:18" s="11" customFormat="1">
      <c r="D14" s="1233"/>
      <c r="E14" s="1233"/>
      <c r="F14" s="1233"/>
      <c r="G14" s="1232"/>
      <c r="H14" s="1232"/>
      <c r="I14" s="1232"/>
      <c r="J14" s="1232"/>
      <c r="K14" s="1232"/>
      <c r="L14" s="1232"/>
      <c r="M14" s="1232"/>
      <c r="N14" s="1232"/>
      <c r="O14" s="1232"/>
    </row>
    <row r="15" spans="1:18" s="11" customFormat="1">
      <c r="E15"/>
      <c r="G15" s="1229"/>
      <c r="H15" s="1230"/>
      <c r="I15" s="1230"/>
      <c r="J15" s="1230"/>
      <c r="K15" s="1230"/>
      <c r="L15" s="1230"/>
      <c r="M15" s="1230"/>
      <c r="N15" s="1230"/>
      <c r="O15" s="1230"/>
    </row>
    <row r="16" spans="1:18" s="11" customFormat="1"/>
    <row r="17" s="11" customFormat="1"/>
    <row r="18" s="11" customFormat="1"/>
    <row r="19" s="11" customFormat="1"/>
    <row r="20" s="11" customFormat="1"/>
    <row r="21" s="11" customFormat="1"/>
    <row r="22" s="11" customFormat="1"/>
    <row r="23" s="11" customFormat="1"/>
    <row r="24" s="11" customFormat="1"/>
    <row r="25" s="11" customFormat="1"/>
    <row r="26" s="11" customFormat="1"/>
    <row r="27" s="11" customFormat="1"/>
    <row r="28" s="11" customFormat="1"/>
    <row r="29" s="11" customFormat="1"/>
    <row r="30" s="11" customFormat="1"/>
    <row r="31" s="11" customFormat="1"/>
    <row r="32" s="11" customFormat="1"/>
    <row r="33" s="11" customFormat="1"/>
    <row r="34" s="11" customFormat="1"/>
    <row r="35" s="11" customFormat="1"/>
    <row r="36" s="11" customFormat="1"/>
    <row r="37" s="11" customFormat="1"/>
    <row r="38" s="11" customFormat="1"/>
    <row r="39" s="11" customFormat="1"/>
    <row r="40" s="11" customFormat="1"/>
    <row r="41" s="11" customFormat="1"/>
    <row r="42" s="11" customFormat="1"/>
    <row r="43" s="11" customFormat="1"/>
    <row r="44" s="11" customFormat="1"/>
    <row r="45" s="11" customFormat="1"/>
    <row r="46" s="11" customFormat="1"/>
    <row r="47" s="11" customFormat="1"/>
    <row r="48" s="11" customFormat="1"/>
    <row r="49" s="11" customFormat="1"/>
    <row r="50" s="11" customFormat="1"/>
    <row r="51" s="11" customFormat="1"/>
    <row r="52" s="11" customFormat="1"/>
    <row r="53" s="11" customFormat="1"/>
    <row r="54" s="11" customFormat="1"/>
    <row r="55" s="11" customFormat="1"/>
    <row r="56" s="11" customFormat="1"/>
    <row r="57" s="11" customFormat="1"/>
    <row r="58" s="11" customFormat="1"/>
    <row r="59" s="11" customFormat="1"/>
    <row r="60" s="11" customFormat="1"/>
    <row r="61" s="11" customFormat="1"/>
    <row r="62" s="11" customFormat="1"/>
    <row r="63" s="11" customFormat="1"/>
    <row r="64" s="11" customFormat="1"/>
    <row r="65" s="11" customFormat="1"/>
    <row r="66" s="11" customFormat="1"/>
    <row r="67" s="11" customFormat="1"/>
    <row r="68" s="11" customFormat="1"/>
    <row r="69" s="11" customFormat="1"/>
    <row r="70" s="11" customFormat="1"/>
    <row r="71" s="11" customFormat="1"/>
    <row r="72" s="11" customFormat="1"/>
    <row r="73" s="11" customFormat="1"/>
    <row r="74" s="11" customFormat="1"/>
    <row r="75" s="11" customFormat="1"/>
    <row r="76" s="11" customFormat="1"/>
    <row r="77" s="11" customFormat="1"/>
    <row r="78" s="11" customFormat="1"/>
    <row r="79" s="11" customFormat="1"/>
    <row r="80" s="11" customFormat="1"/>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row r="217" s="11" customFormat="1"/>
    <row r="218" s="11" customFormat="1"/>
    <row r="219" s="11" customFormat="1"/>
    <row r="220" s="11" customFormat="1"/>
    <row r="221" s="11" customFormat="1"/>
    <row r="222" s="11" customFormat="1"/>
    <row r="223" s="11" customFormat="1"/>
    <row r="224" s="11" customFormat="1"/>
    <row r="225" s="11" customFormat="1"/>
    <row r="226" s="11" customFormat="1"/>
    <row r="227" s="11" customFormat="1"/>
    <row r="228" s="11" customFormat="1"/>
    <row r="229" s="11" customFormat="1"/>
    <row r="230" s="11" customFormat="1"/>
    <row r="231" s="11" customFormat="1"/>
    <row r="232" s="11" customFormat="1"/>
    <row r="233" s="11" customFormat="1"/>
    <row r="234" s="11" customFormat="1"/>
    <row r="235" s="11" customFormat="1"/>
    <row r="236" s="11" customFormat="1"/>
    <row r="237" s="11" customFormat="1"/>
    <row r="238" s="11" customFormat="1"/>
    <row r="239" s="11" customFormat="1"/>
    <row r="240" s="11" customFormat="1"/>
    <row r="241" s="11" customFormat="1"/>
    <row r="242" s="11" customFormat="1"/>
    <row r="243" s="11" customFormat="1"/>
    <row r="244" s="11" customFormat="1"/>
    <row r="245" s="11" customFormat="1"/>
    <row r="246" s="11" customFormat="1"/>
    <row r="247" s="11" customFormat="1"/>
    <row r="248" s="11" customFormat="1"/>
    <row r="249" s="11" customFormat="1"/>
    <row r="250" s="11" customFormat="1"/>
    <row r="251" s="11" customFormat="1"/>
    <row r="252" s="11" customFormat="1"/>
    <row r="253" s="11" customFormat="1"/>
    <row r="254" s="11" customFormat="1"/>
    <row r="255" s="11" customFormat="1"/>
    <row r="256" s="11" customFormat="1"/>
    <row r="257" s="11" customFormat="1"/>
    <row r="258" s="11" customFormat="1"/>
    <row r="259" s="11" customFormat="1"/>
    <row r="260" s="11" customFormat="1"/>
    <row r="261" s="11" customFormat="1"/>
    <row r="262" s="11" customFormat="1"/>
    <row r="263" s="11" customFormat="1"/>
    <row r="264" s="11" customFormat="1"/>
    <row r="265" s="11" customFormat="1"/>
    <row r="266" s="11" customFormat="1"/>
    <row r="267" s="11" customFormat="1"/>
    <row r="268" s="11" customFormat="1"/>
    <row r="269" s="11" customFormat="1"/>
    <row r="270" s="11" customFormat="1"/>
    <row r="271" s="11" customFormat="1"/>
    <row r="272" s="11" customFormat="1"/>
    <row r="273" s="11" customFormat="1"/>
    <row r="274" s="11" customFormat="1"/>
    <row r="275" s="11" customFormat="1"/>
    <row r="276" s="11" customFormat="1"/>
    <row r="277" s="11" customFormat="1"/>
    <row r="278" s="11" customFormat="1"/>
    <row r="279" s="11" customFormat="1"/>
    <row r="280" s="11" customFormat="1"/>
    <row r="281" s="11" customFormat="1"/>
    <row r="282" s="11" customFormat="1"/>
    <row r="283" s="11" customFormat="1"/>
    <row r="284" s="11" customFormat="1"/>
    <row r="285" s="11" customFormat="1"/>
    <row r="286" s="11" customFormat="1"/>
    <row r="287" s="11" customFormat="1"/>
    <row r="288" s="11" customFormat="1"/>
    <row r="289" s="11" customFormat="1"/>
    <row r="290" s="11" customFormat="1"/>
    <row r="291" s="11" customFormat="1"/>
    <row r="292" s="11" customFormat="1"/>
    <row r="293" s="11" customFormat="1"/>
    <row r="294" s="11" customFormat="1"/>
    <row r="295" s="11" customFormat="1"/>
    <row r="296" s="11" customFormat="1"/>
    <row r="297" s="11" customFormat="1"/>
    <row r="298" s="11" customFormat="1"/>
    <row r="299" s="11" customFormat="1"/>
    <row r="300" s="11" customFormat="1"/>
    <row r="301" s="11" customFormat="1"/>
    <row r="302" s="11" customFormat="1"/>
    <row r="303" s="11" customFormat="1"/>
    <row r="304" s="11" customFormat="1"/>
    <row r="305" s="11" customFormat="1"/>
    <row r="306" s="11" customFormat="1"/>
    <row r="307" s="11" customFormat="1"/>
    <row r="308" s="11" customFormat="1"/>
    <row r="309" s="11" customFormat="1"/>
    <row r="310" s="11" customFormat="1"/>
    <row r="311" s="11" customFormat="1"/>
    <row r="312" s="11" customFormat="1"/>
    <row r="313" s="11" customFormat="1"/>
    <row r="314" s="11" customFormat="1"/>
    <row r="315" s="11" customFormat="1"/>
    <row r="316" s="11" customFormat="1"/>
    <row r="317" s="11" customFormat="1"/>
    <row r="318" s="11" customFormat="1"/>
    <row r="319" s="11" customFormat="1"/>
    <row r="320" s="11" customFormat="1"/>
    <row r="321" s="11" customFormat="1"/>
    <row r="322" s="11" customFormat="1"/>
    <row r="323" s="11" customFormat="1"/>
    <row r="324" s="11" customFormat="1"/>
    <row r="325" s="11" customFormat="1"/>
    <row r="326" s="11" customFormat="1"/>
    <row r="327" s="11" customFormat="1"/>
    <row r="328" s="11" customFormat="1"/>
    <row r="329" s="11" customFormat="1"/>
    <row r="330" s="11" customFormat="1"/>
    <row r="331" s="11" customFormat="1"/>
    <row r="332" s="11" customFormat="1"/>
    <row r="333" s="11" customFormat="1"/>
    <row r="334" s="11" customFormat="1"/>
    <row r="335" s="11" customFormat="1"/>
    <row r="336" s="11" customFormat="1"/>
    <row r="337" s="11" customFormat="1"/>
    <row r="338" s="11" customFormat="1"/>
    <row r="339" s="11" customFormat="1"/>
    <row r="340" s="11" customFormat="1"/>
    <row r="341" s="11" customFormat="1"/>
    <row r="342" s="11" customFormat="1"/>
    <row r="343" s="11" customFormat="1"/>
    <row r="344" s="11" customFormat="1"/>
    <row r="345" s="11" customFormat="1"/>
    <row r="346" s="11" customFormat="1"/>
    <row r="347" s="11" customFormat="1"/>
    <row r="348" s="11" customFormat="1"/>
    <row r="349" s="11" customFormat="1"/>
    <row r="350" s="11" customFormat="1"/>
    <row r="351" s="11" customFormat="1"/>
    <row r="352" s="11" customFormat="1"/>
    <row r="353" s="11" customFormat="1"/>
    <row r="354" s="11" customFormat="1"/>
    <row r="355" s="11" customFormat="1"/>
    <row r="356" s="11" customFormat="1"/>
    <row r="357" s="11" customFormat="1"/>
    <row r="358" s="11" customFormat="1"/>
    <row r="359" s="11" customFormat="1"/>
    <row r="360" s="11" customFormat="1"/>
    <row r="361" s="11" customFormat="1"/>
    <row r="362" s="11" customFormat="1"/>
    <row r="363" s="11" customFormat="1"/>
    <row r="364" s="11" customFormat="1"/>
    <row r="365" s="11" customFormat="1"/>
    <row r="366" s="11" customFormat="1"/>
    <row r="367" s="11" customFormat="1"/>
    <row r="368" s="11" customFormat="1"/>
    <row r="369" s="11" customFormat="1"/>
    <row r="370" s="11" customFormat="1"/>
    <row r="371" s="11" customFormat="1"/>
    <row r="372" s="11" customFormat="1"/>
    <row r="373" s="11" customFormat="1"/>
    <row r="374" s="11" customFormat="1"/>
    <row r="375" s="11" customFormat="1"/>
    <row r="376" s="11" customFormat="1"/>
    <row r="377" s="11" customFormat="1"/>
    <row r="378" s="11" customFormat="1"/>
    <row r="379" s="11" customFormat="1"/>
    <row r="380" s="11" customFormat="1"/>
    <row r="381" s="11" customFormat="1"/>
    <row r="382" s="11" customFormat="1"/>
    <row r="383" s="11" customFormat="1"/>
    <row r="384" s="11" customFormat="1"/>
    <row r="385" s="11" customFormat="1"/>
    <row r="386" s="11" customFormat="1"/>
    <row r="387" s="11" customFormat="1"/>
    <row r="388" s="11" customFormat="1"/>
    <row r="389" s="11" customFormat="1"/>
    <row r="390" s="11" customFormat="1"/>
    <row r="391" s="11" customFormat="1"/>
    <row r="392" s="11" customFormat="1"/>
    <row r="393" s="11" customFormat="1"/>
  </sheetData>
  <mergeCells count="9">
    <mergeCell ref="D8:F8"/>
    <mergeCell ref="G8:P8"/>
    <mergeCell ref="J2:M4"/>
    <mergeCell ref="G15:O15"/>
    <mergeCell ref="D10:F10"/>
    <mergeCell ref="G10:O10"/>
    <mergeCell ref="G12:O12"/>
    <mergeCell ref="D14:F14"/>
    <mergeCell ref="G14:O14"/>
  </mergeCells>
  <hyperlinks>
    <hyperlink ref="G10" r:id="rId1" xr:uid="{00000000-0004-0000-0D00-000000000000}"/>
    <hyperlink ref="G8" r:id="rId2" xr:uid="{00000000-0004-0000-0D00-000001000000}"/>
  </hyperlinks>
  <pageMargins left="0.7" right="0.7" top="0.75" bottom="0.75" header="0.3" footer="0.3"/>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242D2-66FB-44B3-BD5E-444BA2002FE1}">
  <dimension ref="A1"/>
  <sheetViews>
    <sheetView workbookViewId="0"/>
  </sheetViews>
  <sheetFormatPr defaultColWidth="8.7109375" defaultRowHeight="15"/>
  <cols>
    <col min="1" max="16384" width="8.7109375" style="1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J105"/>
  <sheetViews>
    <sheetView tabSelected="1" zoomScaleNormal="100" workbookViewId="0">
      <pane ySplit="4" topLeftCell="A5" activePane="bottomLeft" state="frozen"/>
      <selection pane="bottomLeft" activeCell="A7" sqref="A7"/>
    </sheetView>
  </sheetViews>
  <sheetFormatPr defaultColWidth="28.85546875" defaultRowHeight="12.75"/>
  <cols>
    <col min="1" max="1" width="2.85546875" style="2" customWidth="1"/>
    <col min="2" max="2" width="5.7109375" style="2" customWidth="1"/>
    <col min="3" max="4" width="68.5703125" style="2" customWidth="1"/>
    <col min="5" max="7" width="22.85546875" style="2" customWidth="1"/>
    <col min="8" max="9" width="16.42578125" style="2" customWidth="1"/>
    <col min="10" max="10" width="14.5703125" style="2" customWidth="1"/>
    <col min="11" max="16384" width="28.85546875" style="2"/>
  </cols>
  <sheetData>
    <row r="1" spans="1:8" ht="12.75" customHeight="1">
      <c r="A1"/>
      <c r="D1" s="798" t="s">
        <v>542</v>
      </c>
      <c r="E1" s="799" t="str">
        <f>IF('Język - Language'!$B$30="Polski",CONCATENATE("Cennik Reklamowy Wirtualna Polska Media S.A. - obowiązuje od 1.01.2023 r.",CHAR(10),"W celu zasięgnięcia dodatkowych informacji prosimy o kontakt z Biurem Reklamy,",CHAR(10),"reklama@grupawp.pl, tel. (+48) 22 57 63 900; fax (+48) 22 57 63 959"),CONCATENATE("Advertising price list of Wirtualna Polska Media S.A. - valid from January 1, 2023",CHAR(10),"For further information please contact the Advertising Office of WP,",CHAR(10),"reklama@grupawp.pl, phone (+48) 22 57 63 900; fax (+48) 22 57 63 959"))</f>
        <v>Cennik Reklamowy Wirtualna Polska Media S.A. - obowiązuje od 1.01.2023 r.
W celu zasięgnięcia dodatkowych informacji prosimy o kontakt z Biurem Reklamy,
reklama@grupawp.pl, tel. (+48) 22 57 63 900; fax (+48) 22 57 63 959</v>
      </c>
      <c r="F1" s="799"/>
      <c r="G1" s="799"/>
      <c r="H1" s="135"/>
    </row>
    <row r="2" spans="1:8" ht="12.75" customHeight="1">
      <c r="C2" s="135"/>
      <c r="D2" s="798"/>
      <c r="E2" s="799"/>
      <c r="F2" s="799"/>
      <c r="G2" s="799"/>
      <c r="H2" s="135"/>
    </row>
    <row r="3" spans="1:8" ht="12.75" customHeight="1">
      <c r="C3" s="135"/>
      <c r="D3" s="798"/>
      <c r="E3" s="799"/>
      <c r="F3" s="799"/>
      <c r="G3" s="799"/>
      <c r="H3" s="135"/>
    </row>
    <row r="4" spans="1:8" s="29" customFormat="1" ht="12.75" customHeight="1">
      <c r="B4" s="30"/>
      <c r="C4" s="520" t="str">
        <f>IF('Język - Language'!$B$30="Polski","           WP.PL Strona główna","           WP.PL Home Page")</f>
        <v xml:space="preserve">           WP.PL Strona główna</v>
      </c>
      <c r="G4" s="134" t="str">
        <f>IF('Język - Language'!$B$30="Polski","PL","EN")</f>
        <v>PL</v>
      </c>
    </row>
    <row r="5" spans="1:8" ht="12.75" customHeight="1"/>
    <row r="6" spans="1:8" ht="12.75" customHeight="1"/>
    <row r="7" spans="1:8" ht="25.5" customHeight="1">
      <c r="C7" s="839" t="str">
        <f>IF('Język - Language'!$B$30="Polski","        WP STRONA GŁÓWNA (DESKTOP)","        WP HOME PAGE (DESKTOP)")</f>
        <v xml:space="preserve">        WP STRONA GŁÓWNA (DESKTOP)</v>
      </c>
      <c r="D7" s="839" t="str">
        <f>IF('Język - Language'!$B$30="Polski","WP STRONA GŁÓWNA (MOBILE¹)","WP HOME PAGE (MOBILE¹)")</f>
        <v>WP STRONA GŁÓWNA (MOBILE¹)</v>
      </c>
      <c r="E7" s="839" t="s">
        <v>4</v>
      </c>
      <c r="F7" s="839" t="str">
        <f>IF('Język - Language'!$B$30="Polski","CENA RC","PRICE")</f>
        <v>CENA RC</v>
      </c>
      <c r="G7" s="841"/>
    </row>
    <row r="8" spans="1:8" ht="12.75" customHeight="1">
      <c r="A8"/>
      <c r="C8" s="840"/>
      <c r="D8" s="840"/>
      <c r="E8" s="840"/>
      <c r="F8" s="552" t="str">
        <f>IF('Język - Language'!$B$30="Polski","styczeń-wrzesień","Jan-Sep")</f>
        <v>styczeń-wrzesień</v>
      </c>
      <c r="G8" s="553" t="str">
        <f>IF('Język - Language'!$B$30="Polski","październik-grudzień","Oct-Dec")</f>
        <v>październik-grudzień</v>
      </c>
    </row>
    <row r="9" spans="1:8" ht="25.5" customHeight="1">
      <c r="B9" s="28"/>
      <c r="C9" s="583" t="str">
        <f>IF('Język - Language'!$B$30="Polski","Commercial Break XL⁴ 1/uu na godzinę","Commercial Break XL⁴ 1/uu per hour")</f>
        <v>Commercial Break XL⁴ 1/uu na godzinę</v>
      </c>
      <c r="D9" s="601" t="str">
        <f>IF('Język - Language'!$B$30="Polski","Commercial Break⁴ 1/uu na godzinę","Commercial Break⁴ 1/uu per hour")</f>
        <v>Commercial Break⁴ 1/uu na godzinę</v>
      </c>
      <c r="E9" s="385" t="s">
        <v>5</v>
      </c>
      <c r="F9" s="164">
        <v>820000</v>
      </c>
      <c r="G9" s="163">
        <v>985000</v>
      </c>
    </row>
    <row r="10" spans="1:8" ht="25.5" customHeight="1">
      <c r="B10" s="28"/>
      <c r="C10" s="585" t="s">
        <v>6</v>
      </c>
      <c r="D10" s="602" t="s">
        <v>6</v>
      </c>
      <c r="E10" s="386" t="s">
        <v>7</v>
      </c>
      <c r="F10" s="164">
        <v>710000</v>
      </c>
      <c r="G10" s="163">
        <v>850000</v>
      </c>
    </row>
    <row r="11" spans="1:8" ht="25.5" customHeight="1">
      <c r="B11" s="28"/>
      <c r="C11" s="585" t="s">
        <v>8</v>
      </c>
      <c r="D11" s="602" t="s">
        <v>9</v>
      </c>
      <c r="E11" s="386" t="s">
        <v>7</v>
      </c>
      <c r="F11" s="164">
        <v>875000</v>
      </c>
      <c r="G11" s="163">
        <v>1055000</v>
      </c>
    </row>
    <row r="12" spans="1:8" ht="25.5" customHeight="1">
      <c r="B12" s="821" t="str">
        <f>IF('Język - Language'!$B$30="Polski","Górny slot (1-sza dniówka: 3 pierwsze odsłony)","Upper slot 3/uu")</f>
        <v>Górny slot (1-sza dniówka: 3 pierwsze odsłony)</v>
      </c>
      <c r="C12" s="585" t="str">
        <f>IF('Język - Language'!$B$30="Polski","Double Billboard lub Wideboard 3/uu⁶","Double Billboard or Wideboard 3/uu⁶")</f>
        <v>Double Billboard lub Wideboard 3/uu⁶</v>
      </c>
      <c r="D12" s="602" t="str">
        <f>IF('Język - Language'!$B$30="Polski","Banner skalowalny 3/uu ⁶","Adjusted Banner 3/uu ⁶")</f>
        <v>Banner skalowalny 3/uu ⁶</v>
      </c>
      <c r="E12" s="379" t="s">
        <v>10</v>
      </c>
      <c r="F12" s="152">
        <v>715000</v>
      </c>
      <c r="G12" s="163">
        <v>860000</v>
      </c>
    </row>
    <row r="13" spans="1:8" ht="25.5" customHeight="1">
      <c r="B13" s="821"/>
      <c r="C13" s="585" t="s">
        <v>465</v>
      </c>
      <c r="D13" s="602" t="str">
        <f>IF('Język - Language'!$B$30="Polski","Rectangle/Banner skalowalny XL 1/uu + Banner skalowalny 2/uu⁶","Rectangle/Adjusted Banner XL 1/uu + Adjusted Banner 2/uu⁶")</f>
        <v>Rectangle/Banner skalowalny XL 1/uu + Banner skalowalny 2/uu⁶</v>
      </c>
      <c r="E13" s="379" t="s">
        <v>10</v>
      </c>
      <c r="F13" s="152">
        <v>825000</v>
      </c>
      <c r="G13" s="163">
        <v>990000</v>
      </c>
    </row>
    <row r="14" spans="1:8" ht="25.5" customHeight="1">
      <c r="B14" s="821"/>
      <c r="C14" s="585" t="s">
        <v>466</v>
      </c>
      <c r="D14" s="602" t="str">
        <f>IF('Język - Language'!$B$30="Polski","Rectangle/Banner skalowalny XL 1/uu + Banner skalowalny 2/uu⁶","Rectangle/Adjusted Banner XL 1/uu + Adjusted Banner 2/uu⁶")</f>
        <v>Rectangle/Banner skalowalny XL 1/uu + Banner skalowalny 2/uu⁶</v>
      </c>
      <c r="E14" s="379" t="s">
        <v>10</v>
      </c>
      <c r="F14" s="152">
        <v>935000</v>
      </c>
      <c r="G14" s="163">
        <v>1125000</v>
      </c>
    </row>
    <row r="15" spans="1:8" ht="25.5" customHeight="1">
      <c r="B15" s="821"/>
      <c r="C15" s="585" t="s">
        <v>11</v>
      </c>
      <c r="D15" s="602" t="s">
        <v>12</v>
      </c>
      <c r="E15" s="384" t="s">
        <v>10</v>
      </c>
      <c r="F15" s="349">
        <v>950000</v>
      </c>
      <c r="G15" s="163">
        <v>1130000</v>
      </c>
    </row>
    <row r="16" spans="1:8" ht="25.5" customHeight="1">
      <c r="B16" s="821"/>
      <c r="C16" s="585" t="str">
        <f>IF('Język - Language'!$B$30="Polski","Welcome Screen XL⁴ 1/uu + DBB/Wideboard 2/uu","Welcome Screen XL 1/uu + DBB/Wideboard 2/uu")</f>
        <v>Welcome Screen XL⁴ 1/uu + DBB/Wideboard 2/uu</v>
      </c>
      <c r="D16" s="586" t="str">
        <f>IF('Język - Language'!$B$30="Polski","Rectangle/Banner skalowalny XL 1/uu + Banner skalowalny 2/uu","Rectangle/Adjusted Banner XL 1/uu + Adjusted Banner 2/uu")</f>
        <v>Rectangle/Banner skalowalny XL 1/uu + Banner skalowalny 2/uu</v>
      </c>
      <c r="E16" s="378" t="s">
        <v>10</v>
      </c>
      <c r="F16" s="368">
        <v>980000</v>
      </c>
      <c r="G16" s="163">
        <v>1185000</v>
      </c>
    </row>
    <row r="17" spans="2:9" ht="25.5" customHeight="1">
      <c r="B17" s="822"/>
      <c r="C17" s="823" t="str">
        <f>IF('Język - Language'!$B$30="Polski",CONCATENATE("Dodatkowe warianty (np. Megaformat lub Video w kreacji) dla w/w formatów w zakładce ",CHAR(34),"Dopłaty i uwagi dodatkowe",CHAR(34),"."),"Further options (e.g. Mega Ad Format or Vdeo within any ad format) for the above mentioned formats")</f>
        <v>Dodatkowe warianty (np. Megaformat lub Video w kreacji) dla w/w formatów w zakładce "Dopłaty i uwagi dodatkowe".</v>
      </c>
      <c r="D17" s="824"/>
      <c r="E17" s="824"/>
      <c r="F17" s="824"/>
      <c r="G17" s="825"/>
    </row>
    <row r="18" spans="2:9" ht="25.5" customHeight="1">
      <c r="B18" s="832" t="str">
        <f>IF('Język - Language'!$B$30="Polski","Druga dniówka (od 4. odsłony)","Upper slot (FF after 3rd page view)")</f>
        <v>Druga dniówka (od 4. odsłony)</v>
      </c>
      <c r="C18" s="586" t="str">
        <f>IF('Język - Language'!$B$30="Polski","Double Billboard lub Wideboard 6/uu⁶","Double Billboard or Wideboard 6/uu⁶")</f>
        <v>Double Billboard lub Wideboard 6/uu⁶</v>
      </c>
      <c r="D18" s="586" t="str">
        <f>IF('Język - Language'!$B$30="Polski","Rectangle/Banner skalowalny 6/uu⁶","Rectangle/Adjusted Banner 6/uu⁶")</f>
        <v>Rectangle/Banner skalowalny 6/uu⁶</v>
      </c>
      <c r="E18" s="369" t="s">
        <v>13</v>
      </c>
      <c r="F18" s="152">
        <v>355000</v>
      </c>
      <c r="G18" s="211">
        <v>420000</v>
      </c>
    </row>
    <row r="19" spans="2:9" ht="25.5" customHeight="1">
      <c r="B19" s="833"/>
      <c r="C19" s="586" t="s">
        <v>467</v>
      </c>
      <c r="D19" s="586" t="str">
        <f>IF('Język - Language'!$B$30="Polski","Rectangle/Banner skalowalny XL 1/uu + Banner skalowalny 5/uu⁶","Rectangle/Adjusted Banner XL 1/uu + Adjusted Banner 5/uu⁶")</f>
        <v>Rectangle/Banner skalowalny XL 1/uu + Banner skalowalny 5/uu⁶</v>
      </c>
      <c r="E19" s="369" t="s">
        <v>13</v>
      </c>
      <c r="F19" s="512">
        <v>410000</v>
      </c>
      <c r="G19" s="203">
        <v>490000</v>
      </c>
    </row>
    <row r="20" spans="2:9" ht="25.5" customHeight="1">
      <c r="B20" s="833"/>
      <c r="C20" s="586" t="s">
        <v>468</v>
      </c>
      <c r="D20" s="586" t="str">
        <f>IF('Język - Language'!$B$30="Polski","Rectangle/Banner skalowalny XL 1/uu + Banner skalowalny 5/uu⁶","Rectangle/Adjusted Banner XL 1/uu + Adjusted Banner 5/uu⁶")</f>
        <v>Rectangle/Banner skalowalny XL 1/uu + Banner skalowalny 5/uu⁶</v>
      </c>
      <c r="E20" s="369" t="s">
        <v>13</v>
      </c>
      <c r="F20" s="152">
        <v>495000</v>
      </c>
      <c r="G20" s="211">
        <v>595000</v>
      </c>
    </row>
    <row r="21" spans="2:9" ht="25.5" customHeight="1">
      <c r="B21" s="833"/>
      <c r="C21" s="585" t="s">
        <v>14</v>
      </c>
      <c r="D21" s="584" t="s">
        <v>15</v>
      </c>
      <c r="E21" s="383" t="s">
        <v>13</v>
      </c>
      <c r="F21" s="375">
        <v>470000</v>
      </c>
      <c r="G21" s="211">
        <v>565000</v>
      </c>
    </row>
    <row r="22" spans="2:9" ht="25.5" customHeight="1">
      <c r="B22" s="833"/>
      <c r="C22" s="586" t="s">
        <v>16</v>
      </c>
      <c r="D22" s="586" t="str">
        <f>IF('Język - Language'!$B$30="Polski","Rectangle/Banner skalowalny XL 1/uu + Banner skalowalny FF","Rectangle/Adjusted Banner XL 1/uu + Adjusted Banner FF")</f>
        <v>Rectangle/Banner skalowalny XL 1/uu + Banner skalowalny FF</v>
      </c>
      <c r="E22" s="369" t="s">
        <v>13</v>
      </c>
      <c r="F22" s="375">
        <v>520000</v>
      </c>
      <c r="G22" s="163">
        <v>620000</v>
      </c>
    </row>
    <row r="23" spans="2:9" ht="25.5" customHeight="1">
      <c r="B23" s="834"/>
      <c r="C23" s="826" t="str">
        <f>IF('Język - Language'!$B$30="Polski",CONCATENATE("Dodatkowe warianty (np. Megaformat lub Video w kreacji) dla w/w formatów w zakładce ",CHAR(34),"Dopłaty i uwagi dodatkowe",CHAR(34),"."),"Further options (e.g. Mega Ad Format or Vdeo within any ad format) for the above mentioned formats")</f>
        <v>Dodatkowe warianty (np. Megaformat lub Video w kreacji) dla w/w formatów w zakładce "Dopłaty i uwagi dodatkowe".</v>
      </c>
      <c r="D23" s="827"/>
      <c r="E23" s="827"/>
      <c r="F23" s="827"/>
      <c r="G23" s="828"/>
    </row>
    <row r="24" spans="2:9" ht="25.5" customHeight="1">
      <c r="B24" s="829" t="s">
        <v>17</v>
      </c>
      <c r="C24" s="586" t="str">
        <f>IF('Język - Language'!$B$30="Polski","Double Billboard lub Wideboard FF⁶","Double Billboard or Wideboard FF⁶")</f>
        <v>Double Billboard lub Wideboard FF⁶</v>
      </c>
      <c r="D24" s="586" t="str">
        <f>IF('Język - Language'!$B$30="Polski","Rectangle/Banner skalowalny FF⁶","Rectangle/Adjusted Banner FF⁶")</f>
        <v>Rectangle/Banner skalowalny FF⁶</v>
      </c>
      <c r="E24" s="369" t="s">
        <v>7</v>
      </c>
      <c r="F24" s="368">
        <v>485000</v>
      </c>
      <c r="G24" s="211">
        <v>535000</v>
      </c>
      <c r="H24" s="429"/>
      <c r="I24" s="429"/>
    </row>
    <row r="25" spans="2:9" ht="25.5" customHeight="1">
      <c r="B25" s="830"/>
      <c r="C25" s="586" t="s">
        <v>469</v>
      </c>
      <c r="D25" s="586" t="str">
        <f>IF('Język - Language'!$B$30="Polski","Rectangle/Banner skalowalny XL 1/uu + Banner skalowalny FF⁶","Rectangle/Adjusted Banner XL 1/uu + Adjusted Banner FF⁶")</f>
        <v>Rectangle/Banner skalowalny XL 1/uu + Banner skalowalny FF⁶</v>
      </c>
      <c r="E25" s="369" t="s">
        <v>7</v>
      </c>
      <c r="F25" s="368">
        <v>510000</v>
      </c>
      <c r="G25" s="211">
        <v>615000</v>
      </c>
      <c r="H25" s="429"/>
      <c r="I25" s="429"/>
    </row>
    <row r="26" spans="2:9" ht="25.5" customHeight="1">
      <c r="B26" s="830"/>
      <c r="C26" s="586" t="s">
        <v>470</v>
      </c>
      <c r="D26" s="586" t="str">
        <f>IF('Język - Language'!$B$30="Polski","Rectangle/Banner skalowalny XL 1/uu + Banner skalowalny FF⁶","Rectangle/Adjusted Banner XL 1/uu + Adjusted Banner FF⁶")</f>
        <v>Rectangle/Banner skalowalny XL 1/uu + Banner skalowalny FF⁶</v>
      </c>
      <c r="E26" s="369" t="s">
        <v>7</v>
      </c>
      <c r="F26" s="368">
        <v>625000</v>
      </c>
      <c r="G26" s="211">
        <v>750000</v>
      </c>
      <c r="H26" s="429"/>
      <c r="I26" s="429"/>
    </row>
    <row r="27" spans="2:9" ht="25.5" customHeight="1">
      <c r="B27" s="830"/>
      <c r="C27" s="585" t="s">
        <v>18</v>
      </c>
      <c r="D27" s="584" t="s">
        <v>19</v>
      </c>
      <c r="E27" s="369" t="s">
        <v>7</v>
      </c>
      <c r="F27" s="368">
        <v>585000</v>
      </c>
      <c r="G27" s="211">
        <v>760000</v>
      </c>
      <c r="H27" s="429"/>
      <c r="I27" s="429"/>
    </row>
    <row r="28" spans="2:9" ht="25.5" customHeight="1">
      <c r="B28" s="830"/>
      <c r="C28" s="586" t="str">
        <f>IF('Język - Language'!$B$30="Polski","Welcome Screen XL⁴ 1/uu + DBB lub Wideboard FF","Welcome Screen XL 1/uu + DBB lub Wideboard FF")</f>
        <v>Welcome Screen XL⁴ 1/uu + DBB lub Wideboard FF</v>
      </c>
      <c r="D28" s="586" t="str">
        <f>IF('Język - Language'!$B$30="Polski","Rectangle/Banner skalowalny XL 1/uu + Banner skalowalny FF","Rectangle/Adjusted Banner XL 1/uu + Adjusted Banner FF")</f>
        <v>Rectangle/Banner skalowalny XL 1/uu + Banner skalowalny FF</v>
      </c>
      <c r="E28" s="369" t="s">
        <v>7</v>
      </c>
      <c r="F28" s="368">
        <v>650000</v>
      </c>
      <c r="G28" s="211">
        <v>785000</v>
      </c>
      <c r="H28" s="429"/>
      <c r="I28" s="429"/>
    </row>
    <row r="29" spans="2:9" ht="25.5" customHeight="1">
      <c r="B29" s="831"/>
      <c r="C29" s="835" t="str">
        <f>IF('Język - Language'!$B$30="Polski",CONCATENATE("Dodatkowe warianty (np. Megaformat lub Video w kreacji) dla w/w formatów w zakładce ",CHAR(34),"Dopłaty i uwagi dodatkowe",CHAR(34),"."),"Further options (e.g. Mega Ad Format or Vdeo within any ad format) for the above mentioned formats")</f>
        <v>Dodatkowe warianty (np. Megaformat lub Video w kreacji) dla w/w formatów w zakładce "Dopłaty i uwagi dodatkowe".</v>
      </c>
      <c r="D29" s="835"/>
      <c r="E29" s="835"/>
      <c r="F29" s="835"/>
      <c r="G29" s="835"/>
    </row>
    <row r="30" spans="2:9" ht="25.5" customHeight="1">
      <c r="B30" s="816" t="str">
        <f>IF('Język - Language'!$B$30="Polski","Boksy w modułach tematycznych","Boxes in thematic category")</f>
        <v>Boksy w modułach tematycznych</v>
      </c>
      <c r="C30" s="818" t="s">
        <v>20</v>
      </c>
      <c r="D30" s="589" t="s">
        <v>503</v>
      </c>
      <c r="E30" s="445" t="s">
        <v>7</v>
      </c>
      <c r="F30" s="164">
        <v>305000</v>
      </c>
      <c r="G30" s="163">
        <v>365000</v>
      </c>
    </row>
    <row r="31" spans="2:9" ht="25.5" customHeight="1">
      <c r="B31" s="817"/>
      <c r="C31" s="819"/>
      <c r="D31" s="590" t="s">
        <v>504</v>
      </c>
      <c r="E31" s="383" t="s">
        <v>7</v>
      </c>
      <c r="F31" s="152">
        <v>285000</v>
      </c>
      <c r="G31" s="211">
        <v>340000</v>
      </c>
      <c r="H31" s="755"/>
      <c r="I31" s="755"/>
    </row>
    <row r="32" spans="2:9" ht="25.5" customHeight="1">
      <c r="B32" s="817"/>
      <c r="C32" s="585" t="str">
        <f>IF('Język - Language'!$B$30="Polski","Content Box XL (nad modułem Sport) FF⁶","Content Box XL (above the category Sport) FF⁶")</f>
        <v>Content Box XL (nad modułem Sport) FF⁶</v>
      </c>
      <c r="D32" s="590" t="str">
        <f>IF('Język - Language'!$B$30="Polski","Content Box XL (Rectangle/Banner skalowany XL) w module Sport FF⁶","Content Box XL (Rectangle/Adjusted Banner XL) above the category Sport FF⁶")</f>
        <v>Content Box XL (Rectangle/Banner skalowany XL) w module Sport FF⁶</v>
      </c>
      <c r="E32" s="383" t="s">
        <v>7</v>
      </c>
      <c r="F32" s="152">
        <v>465000</v>
      </c>
      <c r="G32" s="211">
        <v>560000</v>
      </c>
    </row>
    <row r="33" spans="2:7" ht="25.5" customHeight="1">
      <c r="B33" s="817"/>
      <c r="C33" s="585" t="str">
        <f>IF('Język - Language'!$B$30="Polski","Content Box XL nad modułem Biznes FF² ⁶","Content Box above the category Business FF² ⁶")</f>
        <v>Content Box XL nad modułem Biznes FF² ⁶</v>
      </c>
      <c r="D33" s="584" t="str">
        <f>IF('Język - Language'!$B$30="Polski","Content Box XL (Rectangle/Banner skalowany XL) w module Biznes FF⁶","Content Box XL (Rectangle/adjusted banner XL) above the category Business FF⁶")</f>
        <v>Content Box XL (Rectangle/Banner skalowany XL) w module Biznes FF⁶</v>
      </c>
      <c r="E33" s="383" t="s">
        <v>7</v>
      </c>
      <c r="F33" s="152">
        <v>325000</v>
      </c>
      <c r="G33" s="211">
        <v>385000</v>
      </c>
    </row>
    <row r="34" spans="2:7" ht="25.5" customHeight="1">
      <c r="B34" s="817"/>
      <c r="C34" s="585" t="str">
        <f>IF('Język - Language'!$B$30="Polski","Content Box nad modułem Gwiazdy FF² ⁶","Content Box above the category Stars FF² ⁶")</f>
        <v>Content Box nad modułem Gwiazdy FF² ⁶</v>
      </c>
      <c r="D34" s="591" t="str">
        <f>IF('Język - Language'!$B$30="Polski","Content Box (Banner/Banner skalowany) nad modułem Gwiazdy FF⁶","Content Box (Banner/adjusted banner) above the category Stars FF⁶")</f>
        <v>Content Box (Banner/Banner skalowany) nad modułem Gwiazdy FF⁶</v>
      </c>
      <c r="E34" s="383" t="s">
        <v>7</v>
      </c>
      <c r="F34" s="152">
        <v>205000</v>
      </c>
      <c r="G34" s="211">
        <v>250000</v>
      </c>
    </row>
    <row r="35" spans="2:7" ht="25.5" customHeight="1">
      <c r="B35" s="817"/>
      <c r="C35" s="585" t="str">
        <f>IF('Język - Language'!$B$30="Polski","Content Box nad modułem Moto&amp;Tech&amp;Gry FF² ⁶","Content Box above the category Moto&amp;Tech FF² ⁶")</f>
        <v>Content Box nad modułem Moto&amp;Tech&amp;Gry FF² ⁶</v>
      </c>
      <c r="D35" s="591" t="str">
        <f>IF('Język - Language'!$B$30="Polski","Content Box (Banner/Banner skalowany) nad modułem Moto&amp;Tech FF⁶","Content Box (Banner/adjusted banner) above the category Moto&amp;Tech FF⁶")</f>
        <v>Content Box (Banner/Banner skalowany) nad modułem Moto&amp;Tech FF⁶</v>
      </c>
      <c r="E35" s="383" t="s">
        <v>7</v>
      </c>
      <c r="F35" s="152">
        <v>180000</v>
      </c>
      <c r="G35" s="211">
        <v>210000</v>
      </c>
    </row>
    <row r="36" spans="2:7" ht="25.5" customHeight="1">
      <c r="B36" s="817"/>
      <c r="C36" s="585" t="str">
        <f>IF('Język - Language'!$B$30="Polski","Content Box nad modułem Styl Życia FF² ⁶","Content Box above the category Lifestyle FF² ⁶")</f>
        <v>Content Box nad modułem Styl Życia FF² ⁶</v>
      </c>
      <c r="D36" s="591" t="str">
        <f>IF('Język - Language'!$B$30="Polski","Content Box (Banner/Banner skalowany) nad modułem Styl Życia FF⁶","Content Box (Banner/adjusted banner) above the category Lifestyle FF⁶")</f>
        <v>Content Box (Banner/Banner skalowany) nad modułem Styl Życia FF⁶</v>
      </c>
      <c r="E36" s="383" t="s">
        <v>7</v>
      </c>
      <c r="F36" s="152">
        <v>145000</v>
      </c>
      <c r="G36" s="211">
        <v>175000</v>
      </c>
    </row>
    <row r="37" spans="2:7" ht="25.5" customHeight="1">
      <c r="B37" s="513"/>
      <c r="C37" s="586" t="s">
        <v>471</v>
      </c>
      <c r="D37" s="663" t="str">
        <f>IF('Język - Language'!$B$30="Polski","Site Takeover modułu Sport FF⁶: Content Box (Banner/Banner skalowany) nad modułem Sport FF + Native Ad","Site Takeover FF of the Sport module⁶: Content Box (Banner/adjusted banner) above the category Sport FF + Native Ad")</f>
        <v>Site Takeover modułu Sport FF⁶: Content Box (Banner/Banner skalowany) nad modułem Sport FF + Native Ad</v>
      </c>
      <c r="E37" s="383" t="s">
        <v>7</v>
      </c>
      <c r="F37" s="623">
        <v>680000</v>
      </c>
      <c r="G37" s="624">
        <v>780000</v>
      </c>
    </row>
    <row r="38" spans="2:7" ht="25.5" customHeight="1">
      <c r="B38" s="513"/>
      <c r="C38" s="586" t="s">
        <v>472</v>
      </c>
      <c r="D38" s="663" t="str">
        <f>IF('Język - Language'!$B$30="Polski","Site Takeover modułu Biznes FF⁶: Content Box (Banner/Banner skalowany) nad modułem Biznes FF + Native Ad","Site Takeover FF of the Business module⁶: Content Box (Banner/adjusted banner) above the category Business FF + Native Ad")</f>
        <v>Site Takeover modułu Biznes FF⁶: Content Box (Banner/Banner skalowany) nad modułem Biznes FF + Native Ad</v>
      </c>
      <c r="E38" s="383" t="s">
        <v>7</v>
      </c>
      <c r="F38" s="623">
        <v>520000</v>
      </c>
      <c r="G38" s="624">
        <v>590000</v>
      </c>
    </row>
    <row r="39" spans="2:7" ht="25.5" customHeight="1">
      <c r="B39" s="513"/>
      <c r="C39" s="586" t="s">
        <v>473</v>
      </c>
      <c r="D39" s="663" t="str">
        <f>IF('Język - Language'!$B$30="Polski","Site Takeover modułu Gwiazdy FF⁶: Content Box (Banner/Banner skalowany) nad modułem Gwiazdy FF","Site Takeover FF of the Stars module⁶: Content Box (Banner/adjusted banner) above the category Stars FF")</f>
        <v>Site Takeover modułu Gwiazdy FF⁶: Content Box (Banner/Banner skalowany) nad modułem Gwiazdy FF</v>
      </c>
      <c r="E39" s="383" t="s">
        <v>7</v>
      </c>
      <c r="F39" s="623">
        <v>295000</v>
      </c>
      <c r="G39" s="624">
        <v>340000</v>
      </c>
    </row>
    <row r="40" spans="2:7" ht="25.5" customHeight="1">
      <c r="B40" s="513"/>
      <c r="C40" s="586" t="s">
        <v>474</v>
      </c>
      <c r="D40" s="663" t="str">
        <f>IF('Język - Language'!$B$30="Polski","Site Takeover modułu Moto&amp;Tech&amp;Gry FF⁶: Content Box (Banner/Banner skalowany) nad modułem Moto&amp;Tech&amp;Gry FF + Native Ad","Site Takeover FF of the Moto&amp;Tech&amp;Games module⁶: Content Box (Banner/adjusted banner) above the category Moto&amp;Tech&amp;Games FF + Native Ad")</f>
        <v>Site Takeover modułu Moto&amp;Tech&amp;Gry FF⁶: Content Box (Banner/Banner skalowany) nad modułem Moto&amp;Tech&amp;Gry FF + Native Ad</v>
      </c>
      <c r="E40" s="383" t="s">
        <v>7</v>
      </c>
      <c r="F40" s="623">
        <v>240000</v>
      </c>
      <c r="G40" s="624">
        <v>275000</v>
      </c>
    </row>
    <row r="41" spans="2:7" ht="25.5" customHeight="1">
      <c r="B41" s="514"/>
      <c r="C41" s="586" t="s">
        <v>475</v>
      </c>
      <c r="D41" s="663" t="str">
        <f>IF('Język - Language'!$B$30="Polski","Site Takeover modułu Styl Życia FF⁶: Content Box (Banner/Banner skalowany) nad modułem Styl Życia FF + Native Ad","Site Takeover FF of the Lifestyle module⁶: Content Box (Banner/adjusted banner) above the category Lifestyle FF")</f>
        <v>Site Takeover modułu Styl Życia FF⁶: Content Box (Banner/Banner skalowany) nad modułem Styl Życia FF + Native Ad</v>
      </c>
      <c r="E41" s="383" t="s">
        <v>7</v>
      </c>
      <c r="F41" s="623">
        <v>210000</v>
      </c>
      <c r="G41" s="624">
        <v>240000</v>
      </c>
    </row>
    <row r="42" spans="2:7" ht="25.5" customHeight="1">
      <c r="B42" s="820" t="s">
        <v>21</v>
      </c>
      <c r="C42" s="585" t="s">
        <v>505</v>
      </c>
      <c r="D42" s="584" t="s">
        <v>507</v>
      </c>
      <c r="E42" s="383" t="s">
        <v>7</v>
      </c>
      <c r="F42" s="375">
        <v>155000</v>
      </c>
      <c r="G42" s="211">
        <v>185000</v>
      </c>
    </row>
    <row r="43" spans="2:7" ht="25.5" customHeight="1">
      <c r="B43" s="820"/>
      <c r="C43" s="515" t="s">
        <v>506</v>
      </c>
      <c r="D43" s="428" t="s">
        <v>508</v>
      </c>
      <c r="E43" s="323" t="s">
        <v>7</v>
      </c>
      <c r="F43" s="373">
        <v>145000</v>
      </c>
      <c r="G43" s="374">
        <v>175000</v>
      </c>
    </row>
    <row r="44" spans="2:7" ht="12.75" customHeight="1">
      <c r="B44" s="167"/>
      <c r="C44" s="344"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D44" s="113"/>
      <c r="E44" s="113"/>
      <c r="F44" s="610"/>
      <c r="G44" s="611"/>
    </row>
    <row r="45" spans="2:7" ht="12.75" customHeight="1">
      <c r="B45" s="89"/>
      <c r="C45" s="96" t="str">
        <f>IF('Język - Language'!$B$30="Polski","² Content Box XL +50%","² Content Box XL +50%")</f>
        <v>² Content Box XL +50%</v>
      </c>
      <c r="D45" s="113"/>
      <c r="E45" s="113"/>
      <c r="F45" s="610"/>
      <c r="G45" s="611"/>
    </row>
    <row r="46" spans="2:7" ht="12.75" customHeight="1">
      <c r="B46" s="343"/>
      <c r="C46" s="612" t="str">
        <f>IF('Język - Language'!$B$30="Polski","³ Scroll Panel Premium na desktop: +20% do ceny w pakiecie; na mobile brak scrolla","³ Scroll Panel Premium for desktop: + 20% to the package price; no scroll on the mobile")</f>
        <v>³ Scroll Panel Premium na desktop: +20% do ceny w pakiecie; na mobile brak scrolla</v>
      </c>
      <c r="D46" s="113"/>
      <c r="E46" s="113"/>
      <c r="F46" s="610"/>
      <c r="G46" s="611"/>
    </row>
    <row r="47" spans="2:7" ht="12.75" customHeight="1">
      <c r="B47" s="343"/>
      <c r="C47" s="612" t="str">
        <f>IF('Język - Language'!$B$30="Polski","⁴ dopłata do opcji Full Page wynosi 25%","⁴ surcharge for the Full Page option is 25%")</f>
        <v>⁴ dopłata do opcji Full Page wynosi 25%</v>
      </c>
      <c r="D47" s="113"/>
      <c r="E47" s="113"/>
      <c r="F47" s="610"/>
      <c r="G47" s="610"/>
    </row>
    <row r="48" spans="2:7" ht="12.75" customHeight="1">
      <c r="B48" s="343"/>
      <c r="C48" s="625" t="s">
        <v>22</v>
      </c>
      <c r="D48" s="113"/>
      <c r="E48" s="113"/>
      <c r="F48" s="610"/>
      <c r="G48" s="610"/>
    </row>
    <row r="49" spans="2:9" ht="12.75" customHeight="1">
      <c r="B49" s="343"/>
      <c r="C49" s="767" t="str">
        <f>IF('Język - Language'!$B$30="Polski","⁶ format dostępny również w PMP (Private Marketplace), cena ustalana indywidualnie","⁶ ad form is also available in PMP (Private Marketplace), the price is set individually")</f>
        <v>⁶ format dostępny również w PMP (Private Marketplace), cena ustalana indywidualnie</v>
      </c>
      <c r="D49" s="113"/>
      <c r="E49" s="113"/>
      <c r="F49" s="610"/>
      <c r="G49" s="610"/>
    </row>
    <row r="50" spans="2:9" ht="12.75" customHeight="1">
      <c r="D50" s="142"/>
      <c r="E50" s="142"/>
      <c r="F50" s="142"/>
      <c r="G50" s="142"/>
    </row>
    <row r="52" spans="2:9" ht="25.5" customHeight="1">
      <c r="B52" s="855" t="s">
        <v>23</v>
      </c>
      <c r="C52" s="836" t="s">
        <v>24</v>
      </c>
      <c r="D52" s="836"/>
      <c r="E52" s="836" t="str">
        <f>IF('Język - Language'!$B$30="Polski","MODEL EMISJI","MODEL OF EMISSION")</f>
        <v>MODEL EMISJI</v>
      </c>
      <c r="F52" s="836" t="str">
        <f>IF('Język - Language'!$B$30="Polski","CENA RC","PRICE")</f>
        <v>CENA RC</v>
      </c>
      <c r="G52" s="838"/>
    </row>
    <row r="53" spans="2:9" ht="12.75" customHeight="1">
      <c r="B53" s="855"/>
      <c r="C53" s="837"/>
      <c r="D53" s="837"/>
      <c r="E53" s="837"/>
      <c r="F53" s="556" t="str">
        <f>IF('Język - Language'!$B$30="Polski","styczeń-wrzesień","Jan-Sep")</f>
        <v>styczeń-wrzesień</v>
      </c>
      <c r="G53" s="557" t="str">
        <f>IF('Język - Language'!$B$30="Polski","październik-grudzień","Oct-Dec")</f>
        <v>październik-grudzień</v>
      </c>
    </row>
    <row r="54" spans="2:9" ht="25.5" customHeight="1">
      <c r="B54" s="855"/>
      <c r="C54" s="588" t="s">
        <v>25</v>
      </c>
      <c r="D54" s="597"/>
      <c r="E54" s="370" t="str">
        <f>IF('Język - Language'!$B$30="Polski","Flat Fee / dzień","Flat Fee / 1 day")</f>
        <v>Flat Fee / dzień</v>
      </c>
      <c r="F54" s="164">
        <v>430000</v>
      </c>
      <c r="G54" s="450">
        <v>495000</v>
      </c>
    </row>
    <row r="55" spans="2:9" ht="25.5" customHeight="1">
      <c r="B55" s="855"/>
      <c r="C55" s="846" t="s">
        <v>476</v>
      </c>
      <c r="D55" s="598"/>
      <c r="E55" s="369" t="s">
        <v>26</v>
      </c>
      <c r="F55" s="152">
        <v>280000</v>
      </c>
      <c r="G55" s="211">
        <v>330000</v>
      </c>
    </row>
    <row r="56" spans="2:9" ht="25.5" customHeight="1">
      <c r="B56" s="855"/>
      <c r="C56" s="819"/>
      <c r="D56" s="599"/>
      <c r="E56" s="370" t="s">
        <v>27</v>
      </c>
      <c r="F56" s="152">
        <v>250000</v>
      </c>
      <c r="G56" s="211">
        <v>300000</v>
      </c>
    </row>
    <row r="57" spans="2:9" ht="25.5" customHeight="1">
      <c r="B57" s="855"/>
      <c r="C57" s="846" t="str">
        <f>IF('Język - Language'!$B$30="Polski","Banner okazjonalny WP live (slot x51)","WP live occasional banner")</f>
        <v>Banner okazjonalny WP live (slot x51)</v>
      </c>
      <c r="D57" s="598"/>
      <c r="E57" s="369" t="s">
        <v>26</v>
      </c>
      <c r="F57" s="152">
        <v>240000</v>
      </c>
      <c r="G57" s="211">
        <v>290000</v>
      </c>
    </row>
    <row r="58" spans="2:9" ht="25.5" customHeight="1">
      <c r="B58" s="855"/>
      <c r="C58" s="819"/>
      <c r="D58" s="599"/>
      <c r="E58" s="370" t="s">
        <v>27</v>
      </c>
      <c r="F58" s="152">
        <v>215000</v>
      </c>
      <c r="G58" s="211">
        <v>260000</v>
      </c>
    </row>
    <row r="59" spans="2:9" ht="25.5" customHeight="1">
      <c r="B59" s="855"/>
      <c r="C59" s="585" t="s">
        <v>28</v>
      </c>
      <c r="D59" s="600"/>
      <c r="E59" s="369" t="s">
        <v>29</v>
      </c>
      <c r="F59" s="152">
        <v>450000</v>
      </c>
      <c r="G59" s="211">
        <v>520000</v>
      </c>
    </row>
    <row r="60" spans="2:9" ht="25.5" customHeight="1">
      <c r="B60" s="855"/>
      <c r="C60" s="583" t="s">
        <v>509</v>
      </c>
      <c r="D60" s="598"/>
      <c r="E60" s="92" t="str">
        <f>IF('Język - Language'!$B$30="Polski","Flat Fee / dzień","Flat Fee / 1 day")</f>
        <v>Flat Fee / dzień</v>
      </c>
      <c r="F60" s="487">
        <v>210000</v>
      </c>
      <c r="G60" s="488">
        <v>255000</v>
      </c>
      <c r="H60" s="757"/>
      <c r="I60" s="757"/>
    </row>
    <row r="61" spans="2:9" ht="25.5" customHeight="1">
      <c r="B61" s="855"/>
      <c r="C61" s="836" t="s">
        <v>24</v>
      </c>
      <c r="D61" s="836"/>
      <c r="E61" s="836" t="str">
        <f>IF('Język - Language'!$B$30="Polski","MODEL EMISJI","MODEL OF EMISSION")</f>
        <v>MODEL EMISJI</v>
      </c>
      <c r="F61" s="836" t="s">
        <v>30</v>
      </c>
      <c r="G61" s="838"/>
      <c r="H61" s="854"/>
      <c r="I61" s="854"/>
    </row>
    <row r="62" spans="2:9" ht="12.75" customHeight="1">
      <c r="B62" s="855"/>
      <c r="C62" s="837"/>
      <c r="D62" s="837"/>
      <c r="E62" s="837"/>
      <c r="F62" s="556" t="str">
        <f>IF('Język - Language'!$B$30="Polski","dzień","1 day")</f>
        <v>dzień</v>
      </c>
      <c r="G62" s="557" t="str">
        <f>IF('Język - Language'!$B$30="Polski","tydzień","1 week")</f>
        <v>tydzień</v>
      </c>
      <c r="H62" s="621"/>
      <c r="I62" s="16"/>
    </row>
    <row r="63" spans="2:9" ht="25.5" customHeight="1">
      <c r="B63" s="855"/>
      <c r="C63" s="842" t="s">
        <v>31</v>
      </c>
      <c r="D63" s="587" t="s">
        <v>32</v>
      </c>
      <c r="E63" s="844" t="s">
        <v>33</v>
      </c>
      <c r="F63" s="309">
        <v>5000</v>
      </c>
      <c r="G63" s="432">
        <v>28000</v>
      </c>
      <c r="H63" s="309"/>
      <c r="I63" s="622"/>
    </row>
    <row r="64" spans="2:9" ht="25.5" customHeight="1">
      <c r="B64" s="855"/>
      <c r="C64" s="818"/>
      <c r="D64" s="587" t="s">
        <v>34</v>
      </c>
      <c r="E64" s="844"/>
      <c r="F64" s="309">
        <v>3500</v>
      </c>
      <c r="G64" s="432">
        <v>18000</v>
      </c>
      <c r="H64" s="309"/>
      <c r="I64" s="622"/>
    </row>
    <row r="65" spans="2:9" ht="25.5" customHeight="1">
      <c r="B65" s="855"/>
      <c r="C65" s="818"/>
      <c r="D65" s="587" t="s">
        <v>35</v>
      </c>
      <c r="E65" s="844"/>
      <c r="F65" s="309">
        <v>3000</v>
      </c>
      <c r="G65" s="432">
        <v>18000</v>
      </c>
      <c r="H65" s="309"/>
      <c r="I65" s="622"/>
    </row>
    <row r="66" spans="2:9" ht="25.5" customHeight="1">
      <c r="B66" s="855"/>
      <c r="C66" s="818"/>
      <c r="D66" s="587" t="s">
        <v>36</v>
      </c>
      <c r="E66" s="844"/>
      <c r="F66" s="309">
        <v>3000</v>
      </c>
      <c r="G66" s="432">
        <v>11000</v>
      </c>
      <c r="H66" s="309"/>
      <c r="I66" s="622"/>
    </row>
    <row r="67" spans="2:9" ht="25.5" customHeight="1">
      <c r="B67" s="855"/>
      <c r="C67" s="818"/>
      <c r="D67" s="587" t="s">
        <v>37</v>
      </c>
      <c r="E67" s="844"/>
      <c r="F67" s="309">
        <v>2000</v>
      </c>
      <c r="G67" s="432">
        <v>11000</v>
      </c>
      <c r="H67" s="309"/>
      <c r="I67" s="622"/>
    </row>
    <row r="68" spans="2:9" ht="25.5" customHeight="1">
      <c r="B68" s="855"/>
      <c r="C68" s="843"/>
      <c r="D68" s="516" t="s">
        <v>38</v>
      </c>
      <c r="E68" s="845"/>
      <c r="F68" s="310">
        <v>2000</v>
      </c>
      <c r="G68" s="433">
        <v>15000</v>
      </c>
      <c r="H68" s="309"/>
      <c r="I68" s="622"/>
    </row>
    <row r="69" spans="2:9">
      <c r="C69" s="137" t="s">
        <v>39</v>
      </c>
    </row>
    <row r="70" spans="2:9">
      <c r="C70" s="137" t="s">
        <v>40</v>
      </c>
    </row>
    <row r="71" spans="2:9">
      <c r="C71" s="137" t="s">
        <v>41</v>
      </c>
    </row>
    <row r="72" spans="2:9">
      <c r="C72" s="137" t="s">
        <v>42</v>
      </c>
    </row>
    <row r="73" spans="2:9">
      <c r="C73" s="137" t="str">
        <f>IF('Język - Language'!$B$30="Polski","⁵ dopłata do opcji Full Page wynosi 25%","⁵ surcharge for the Full Page option is 25%")</f>
        <v>⁵ dopłata do opcji Full Page wynosi 25%</v>
      </c>
    </row>
    <row r="74" spans="2:9" ht="12.75" customHeight="1">
      <c r="B74" s="343"/>
      <c r="C74" s="767" t="str">
        <f>IF('Język - Language'!$B$30="Polski","⁶ format dostępny również w PMP (Private Marketplace), cena ustalana indywidualnie","⁶ ad form is also available in PMP (Private Marketplace), the price is set individually")</f>
        <v>⁶ format dostępny również w PMP (Private Marketplace), cena ustalana indywidualnie</v>
      </c>
      <c r="D74" s="113"/>
      <c r="E74" s="113"/>
      <c r="F74" s="610"/>
      <c r="G74" s="610"/>
    </row>
    <row r="77" spans="2:9" ht="25.5" customHeight="1">
      <c r="B77" s="855" t="s">
        <v>43</v>
      </c>
      <c r="C77" s="836" t="s">
        <v>44</v>
      </c>
      <c r="D77" s="595"/>
      <c r="E77" s="836" t="str">
        <f>IF('Język - Language'!$B$30="Polski","MODEL EMISJI","MODEL OF EMISSION")</f>
        <v>MODEL EMISJI</v>
      </c>
      <c r="F77" s="836" t="str">
        <f>IF('Język - Language'!$B$30="Polski","CENA RC","PRICE")</f>
        <v>CENA RC</v>
      </c>
      <c r="G77" s="838"/>
    </row>
    <row r="78" spans="2:9" ht="12.75" customHeight="1">
      <c r="B78" s="855"/>
      <c r="C78" s="837"/>
      <c r="D78" s="596"/>
      <c r="E78" s="837"/>
      <c r="F78" s="556" t="str">
        <f>IF('Język - Language'!$B$30="Polski","styczeń-wrzesień","Jan-Sep")</f>
        <v>styczeń-wrzesień</v>
      </c>
      <c r="G78" s="557" t="str">
        <f>IF('Język - Language'!$B$30="Polski","październik-grudzień","Oct-Dec")</f>
        <v>październik-grudzień</v>
      </c>
    </row>
    <row r="79" spans="2:9" ht="25.5" customHeight="1">
      <c r="B79" s="855"/>
      <c r="C79" s="847" t="s">
        <v>45</v>
      </c>
      <c r="D79" s="848"/>
      <c r="E79" s="370" t="str">
        <f>IF('Język - Language'!$B$30="Polski","Flat Fee / dzień","Flat Fee / 1 day")</f>
        <v>Flat Fee / dzień</v>
      </c>
      <c r="F79" s="164">
        <v>405000</v>
      </c>
      <c r="G79" s="163">
        <v>515000</v>
      </c>
    </row>
    <row r="80" spans="2:9" ht="25.5" customHeight="1">
      <c r="B80" s="855"/>
      <c r="C80" s="849" t="s">
        <v>46</v>
      </c>
      <c r="D80" s="850"/>
      <c r="E80" s="369" t="s">
        <v>7</v>
      </c>
      <c r="F80" s="164">
        <v>495000</v>
      </c>
      <c r="G80" s="163">
        <v>590000</v>
      </c>
    </row>
    <row r="81" spans="2:7" ht="25.5" customHeight="1">
      <c r="B81" s="855"/>
      <c r="C81" s="819" t="s">
        <v>516</v>
      </c>
      <c r="D81" s="851"/>
      <c r="E81" s="369" t="s">
        <v>7</v>
      </c>
      <c r="F81" s="152">
        <v>140000</v>
      </c>
      <c r="G81" s="163">
        <v>165000</v>
      </c>
    </row>
    <row r="82" spans="2:7" ht="25.5" customHeight="1">
      <c r="B82" s="855"/>
      <c r="C82" s="849" t="s">
        <v>517</v>
      </c>
      <c r="D82" s="850"/>
      <c r="E82" s="369" t="s">
        <v>7</v>
      </c>
      <c r="F82" s="152">
        <v>95000</v>
      </c>
      <c r="G82" s="163">
        <v>120000</v>
      </c>
    </row>
    <row r="83" spans="2:7" ht="25.5" customHeight="1">
      <c r="B83" s="855"/>
      <c r="C83" s="819" t="s">
        <v>518</v>
      </c>
      <c r="D83" s="851"/>
      <c r="E83" s="370" t="s">
        <v>7</v>
      </c>
      <c r="F83" s="152">
        <v>70000</v>
      </c>
      <c r="G83" s="163">
        <v>85000</v>
      </c>
    </row>
    <row r="84" spans="2:7" ht="25.5" customHeight="1">
      <c r="B84" s="855"/>
      <c r="C84" s="852" t="s">
        <v>47</v>
      </c>
      <c r="D84" s="853"/>
      <c r="E84" s="369" t="s">
        <v>7</v>
      </c>
      <c r="F84" s="152">
        <v>405000</v>
      </c>
      <c r="G84" s="211">
        <v>450000</v>
      </c>
    </row>
    <row r="85" spans="2:7" ht="25.5" customHeight="1">
      <c r="B85" s="855"/>
      <c r="C85" s="819" t="s">
        <v>515</v>
      </c>
      <c r="D85" s="851"/>
      <c r="E85" s="370" t="s">
        <v>10</v>
      </c>
      <c r="F85" s="164">
        <v>250000</v>
      </c>
      <c r="G85" s="163">
        <v>295000</v>
      </c>
    </row>
    <row r="86" spans="2:7" ht="25.5" customHeight="1">
      <c r="B86" s="855"/>
      <c r="C86" s="863" t="s">
        <v>48</v>
      </c>
      <c r="D86" s="864"/>
      <c r="E86" s="486" t="s">
        <v>29</v>
      </c>
      <c r="F86" s="487">
        <v>400000</v>
      </c>
      <c r="G86" s="488">
        <v>435000</v>
      </c>
    </row>
    <row r="87" spans="2:7" ht="25.5" customHeight="1">
      <c r="B87" s="855"/>
      <c r="C87" s="868" t="s">
        <v>44</v>
      </c>
      <c r="D87" s="595"/>
      <c r="E87" s="836" t="str">
        <f>IF('Język - Language'!$B$30="Polski","MODEL EMISJI","MODEL OF EMISSION")</f>
        <v>MODEL EMISJI</v>
      </c>
      <c r="F87" s="836" t="s">
        <v>30</v>
      </c>
      <c r="G87" s="838"/>
    </row>
    <row r="88" spans="2:7">
      <c r="B88" s="855"/>
      <c r="C88" s="837"/>
      <c r="D88" s="596"/>
      <c r="E88" s="837"/>
      <c r="F88" s="556" t="str">
        <f>IF('Język - Language'!$B$30="Polski","dzień","1 day")</f>
        <v>dzień</v>
      </c>
      <c r="G88" s="557" t="str">
        <f>IF('Język - Language'!$B$30="Polski","tydzień","1 week")</f>
        <v>tydzień</v>
      </c>
    </row>
    <row r="89" spans="2:7" ht="25.5" customHeight="1">
      <c r="B89" s="855"/>
      <c r="C89" s="842" t="str">
        <f>IF('Język - Language'!$B$30="Polski","Linkt tekstowy w sekcji na WP SG (kierujący na zewnątrz)","Text link in the selected section of WP Home Page (linking outside)")</f>
        <v>Linkt tekstowy w sekcji na WP SG (kierujący na zewnątrz)</v>
      </c>
      <c r="D89" s="527" t="s">
        <v>32</v>
      </c>
      <c r="E89" s="865" t="s">
        <v>33</v>
      </c>
      <c r="F89" s="489">
        <v>6000</v>
      </c>
      <c r="G89" s="493">
        <v>32000</v>
      </c>
    </row>
    <row r="90" spans="2:7" ht="25.5" customHeight="1">
      <c r="B90" s="855"/>
      <c r="C90" s="818"/>
      <c r="D90" s="587" t="s">
        <v>34</v>
      </c>
      <c r="E90" s="866"/>
      <c r="F90" s="490">
        <v>4000</v>
      </c>
      <c r="G90" s="494">
        <v>19000</v>
      </c>
    </row>
    <row r="91" spans="2:7" ht="25.5" customHeight="1">
      <c r="B91" s="855"/>
      <c r="C91" s="843"/>
      <c r="D91" s="516" t="s">
        <v>35</v>
      </c>
      <c r="E91" s="867"/>
      <c r="F91" s="608">
        <v>4000</v>
      </c>
      <c r="G91" s="609">
        <v>19000</v>
      </c>
    </row>
    <row r="92" spans="2:7">
      <c r="C92" s="344" t="s">
        <v>49</v>
      </c>
      <c r="D92" s="439"/>
      <c r="E92" s="436"/>
      <c r="F92" s="606"/>
      <c r="G92" s="607"/>
    </row>
    <row r="93" spans="2:7">
      <c r="C93" s="344" t="str">
        <f>IF('Język - Language'!$B$30="Polski","² dopłata do opcji Full Page wynosi 25%","² surcharge for the Full Page option is 25%")</f>
        <v>² dopłata do opcji Full Page wynosi 25%</v>
      </c>
      <c r="D93" s="439"/>
      <c r="E93" s="436"/>
      <c r="F93" s="606"/>
      <c r="G93" s="607"/>
    </row>
    <row r="94" spans="2:7">
      <c r="C94" s="344" t="s">
        <v>50</v>
      </c>
      <c r="D94" s="439"/>
      <c r="E94" s="436"/>
      <c r="F94" s="606"/>
      <c r="G94" s="607"/>
    </row>
    <row r="95" spans="2:7" ht="12.75" customHeight="1">
      <c r="B95" s="343"/>
      <c r="C95" s="767" t="str">
        <f>IF('Język - Language'!$B$30="Polski","⁴ format dostępny również w PMP (Private Marketplace), cena ustalana indywidualnie","⁴ ad form is also available in PMP (Private Marketplace), the price is set individually")</f>
        <v>⁴ format dostępny również w PMP (Private Marketplace), cena ustalana indywidualnie</v>
      </c>
      <c r="D95" s="113"/>
      <c r="E95" s="113"/>
      <c r="F95" s="610"/>
      <c r="G95" s="610"/>
    </row>
    <row r="96" spans="2:7">
      <c r="C96" s="439"/>
      <c r="D96" s="439"/>
      <c r="E96" s="436"/>
      <c r="F96" s="606"/>
      <c r="G96" s="607"/>
    </row>
    <row r="98" spans="2:10" ht="25.5" customHeight="1">
      <c r="B98" s="855" t="s">
        <v>51</v>
      </c>
      <c r="C98" s="857" t="str">
        <f>IF('Język - Language'!$B$30="Polski",CONCATENATE("WP STRONA GŁÓWNA: SPONSORING NAGŁÓWKA SEKCJI",CHAR(10),"MIEJSCE EMISJI"),CONCATENATE("SPONSORING OF WP HP SECTION HEADING",CHAR(10),"PLACE OF EMISSION"))</f>
        <v>WP STRONA GŁÓWNA: SPONSORING NAGŁÓWKA SEKCJI
MIEJSCE EMISJI</v>
      </c>
      <c r="D98" s="858" t="str">
        <f>IF('Język - Language'!$B$30="Polski","MODEL EMISJI","MODEL OF EMISSION")</f>
        <v>MODEL EMISJI</v>
      </c>
      <c r="E98" s="859" t="str">
        <f>IF('Język - Language'!$B$30="Polski","CENA RC","RC PRICE")</f>
        <v>CENA RC</v>
      </c>
      <c r="F98" s="859"/>
      <c r="G98" s="860"/>
      <c r="H98" s="147"/>
      <c r="I98" s="147"/>
      <c r="J98" s="147"/>
    </row>
    <row r="99" spans="2:10" ht="12.75" customHeight="1">
      <c r="B99" s="855"/>
      <c r="C99" s="857"/>
      <c r="D99" s="858"/>
      <c r="E99" s="563" t="str">
        <f>IF('Język - Language'!$B$30="Polski","dzień","1 day")</f>
        <v>dzień</v>
      </c>
      <c r="F99" s="563" t="str">
        <f>IF('Język - Language'!$B$30="Polski","tydzień","1 week")</f>
        <v>tydzień</v>
      </c>
      <c r="G99" s="564" t="str">
        <f>IF('Język - Language'!$B$30="Polski","miesiąc","1 month")</f>
        <v>miesiąc</v>
      </c>
      <c r="H99" s="147"/>
      <c r="I99" s="147"/>
      <c r="J99" s="147"/>
    </row>
    <row r="100" spans="2:10" ht="25.5" customHeight="1">
      <c r="B100" s="855"/>
      <c r="C100" s="565" t="str">
        <f>IF('Język - Language'!$B$30="Polski","Sport","Sport")</f>
        <v>Sport</v>
      </c>
      <c r="D100" s="861" t="str">
        <f>IF('Język - Language'!$B$30="Polski","Flat Fee","Flat Fee")</f>
        <v>Flat Fee</v>
      </c>
      <c r="E100" s="285">
        <v>42000</v>
      </c>
      <c r="F100" s="285">
        <v>231000</v>
      </c>
      <c r="G100" s="286">
        <v>578000</v>
      </c>
      <c r="H100" s="147"/>
      <c r="I100" s="147"/>
      <c r="J100" s="147"/>
    </row>
    <row r="101" spans="2:10" ht="25.5" customHeight="1">
      <c r="B101" s="855"/>
      <c r="C101" s="566" t="str">
        <f>IF('Język - Language'!$B$30="Polski","Biznes","Business")</f>
        <v>Biznes</v>
      </c>
      <c r="D101" s="861"/>
      <c r="E101" s="287">
        <v>37000</v>
      </c>
      <c r="F101" s="287">
        <v>200000</v>
      </c>
      <c r="G101" s="288">
        <v>499000</v>
      </c>
      <c r="H101" s="147"/>
      <c r="I101" s="147"/>
      <c r="J101" s="147"/>
    </row>
    <row r="102" spans="2:10" ht="25.5" customHeight="1">
      <c r="B102" s="855"/>
      <c r="C102" s="566" t="str">
        <f>IF('Język - Language'!$B$30="Polski","Gwiazdy","Celebrieties")</f>
        <v>Gwiazdy</v>
      </c>
      <c r="D102" s="861"/>
      <c r="E102" s="287">
        <v>32000</v>
      </c>
      <c r="F102" s="287">
        <v>174000</v>
      </c>
      <c r="G102" s="287">
        <v>431000</v>
      </c>
      <c r="H102" s="147"/>
      <c r="I102" s="147"/>
      <c r="J102" s="147"/>
    </row>
    <row r="103" spans="2:10" ht="25.5" customHeight="1">
      <c r="B103" s="855"/>
      <c r="C103" s="566" t="str">
        <f>IF('Język - Language'!$B$30="Polski","Styl Życia","Life style")</f>
        <v>Styl Życia</v>
      </c>
      <c r="D103" s="861"/>
      <c r="E103" s="287">
        <v>27000</v>
      </c>
      <c r="F103" s="287">
        <v>142000</v>
      </c>
      <c r="G103" s="287">
        <v>347000</v>
      </c>
      <c r="H103" s="147"/>
      <c r="I103" s="147"/>
      <c r="J103" s="147"/>
    </row>
    <row r="104" spans="2:10" ht="25.5" customHeight="1">
      <c r="B104" s="855"/>
      <c r="C104" s="566" t="str">
        <f>IF('Język - Language'!$B$30="Polski","Motoryzacja, Technologia, Gry","Automotive, Technology, Games")</f>
        <v>Motoryzacja, Technologia, Gry</v>
      </c>
      <c r="D104" s="861"/>
      <c r="E104" s="287">
        <v>27000</v>
      </c>
      <c r="F104" s="287">
        <v>142000</v>
      </c>
      <c r="G104" s="288">
        <v>347000</v>
      </c>
      <c r="H104" s="147"/>
      <c r="I104" s="147"/>
      <c r="J104" s="147"/>
    </row>
    <row r="105" spans="2:10" ht="25.5" customHeight="1">
      <c r="B105" s="856"/>
      <c r="C105" s="567" t="str">
        <f>IF('Język - Language'!$B$30="Polski","Turystyka","Travel")</f>
        <v>Turystyka</v>
      </c>
      <c r="D105" s="862"/>
      <c r="E105" s="289">
        <v>24000</v>
      </c>
      <c r="F105" s="290">
        <v>126000</v>
      </c>
      <c r="G105" s="290">
        <v>315000</v>
      </c>
      <c r="H105" s="147"/>
      <c r="I105" s="147"/>
      <c r="J105" s="147"/>
    </row>
  </sheetData>
  <mergeCells count="51">
    <mergeCell ref="D1:D3"/>
    <mergeCell ref="E1:G3"/>
    <mergeCell ref="H61:I61"/>
    <mergeCell ref="B98:B105"/>
    <mergeCell ref="C98:C99"/>
    <mergeCell ref="D98:D99"/>
    <mergeCell ref="E98:G98"/>
    <mergeCell ref="D100:D105"/>
    <mergeCell ref="B77:B91"/>
    <mergeCell ref="B52:B68"/>
    <mergeCell ref="C86:D86"/>
    <mergeCell ref="E87:E88"/>
    <mergeCell ref="F87:G87"/>
    <mergeCell ref="C89:C91"/>
    <mergeCell ref="E89:E91"/>
    <mergeCell ref="C87:C88"/>
    <mergeCell ref="C81:D81"/>
    <mergeCell ref="C82:D82"/>
    <mergeCell ref="C83:D83"/>
    <mergeCell ref="C84:D84"/>
    <mergeCell ref="C85:D85"/>
    <mergeCell ref="E77:E78"/>
    <mergeCell ref="F77:G77"/>
    <mergeCell ref="C79:D79"/>
    <mergeCell ref="C80:D80"/>
    <mergeCell ref="C77:C78"/>
    <mergeCell ref="F61:G61"/>
    <mergeCell ref="C63:C68"/>
    <mergeCell ref="E63:E68"/>
    <mergeCell ref="C57:C58"/>
    <mergeCell ref="C55:C56"/>
    <mergeCell ref="C61:C62"/>
    <mergeCell ref="D61:D62"/>
    <mergeCell ref="E61:E62"/>
    <mergeCell ref="E52:E53"/>
    <mergeCell ref="F52:G52"/>
    <mergeCell ref="C52:C53"/>
    <mergeCell ref="D52:D53"/>
    <mergeCell ref="C7:C8"/>
    <mergeCell ref="D7:D8"/>
    <mergeCell ref="E7:E8"/>
    <mergeCell ref="F7:G7"/>
    <mergeCell ref="B30:B36"/>
    <mergeCell ref="C30:C31"/>
    <mergeCell ref="B42:B43"/>
    <mergeCell ref="B12:B17"/>
    <mergeCell ref="C17:G17"/>
    <mergeCell ref="C23:G23"/>
    <mergeCell ref="B24:B29"/>
    <mergeCell ref="B18:B23"/>
    <mergeCell ref="C29:G29"/>
  </mergeCells>
  <hyperlinks>
    <hyperlink ref="D1:D3" location="'Kampanie zeroemisyjne WP'!A1" display="'Kampanie zeroemisyjne WP'!A1" xr:uid="{F07A8CB8-A6E4-4DCF-BB45-7B81EDBD6BDA}"/>
  </hyperlinks>
  <pageMargins left="0.7" right="0.7" top="0.75" bottom="0.75" header="0.3" footer="0.3"/>
  <pageSetup paperSize="25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tabColor rgb="FFFCE4D6"/>
  </sheetPr>
  <dimension ref="A1:O132"/>
  <sheetViews>
    <sheetView zoomScaleNormal="100" workbookViewId="0">
      <pane ySplit="4" topLeftCell="A5" activePane="bottomLeft" state="frozen"/>
      <selection pane="bottomLeft" activeCell="A7" sqref="A7"/>
    </sheetView>
  </sheetViews>
  <sheetFormatPr defaultColWidth="28.85546875" defaultRowHeight="12.75"/>
  <cols>
    <col min="1" max="1" width="2.85546875" style="2" customWidth="1"/>
    <col min="2" max="2" width="5.7109375" style="2" customWidth="1"/>
    <col min="3" max="3" width="15.7109375" style="2" customWidth="1"/>
    <col min="4" max="4" width="38.5703125" style="2" customWidth="1"/>
    <col min="5" max="5" width="18.5703125" style="2" customWidth="1"/>
    <col min="6" max="11" width="22.85546875" style="2" customWidth="1"/>
    <col min="12" max="13" width="16.42578125" style="2" customWidth="1"/>
    <col min="14" max="14" width="14.5703125" style="2" customWidth="1"/>
    <col min="15" max="16384" width="28.85546875" style="2"/>
  </cols>
  <sheetData>
    <row r="1" spans="1:12" ht="12.75" customHeight="1">
      <c r="A1"/>
      <c r="F1" s="798" t="s">
        <v>542</v>
      </c>
      <c r="G1" s="798"/>
      <c r="H1" s="798"/>
      <c r="I1" s="799" t="str">
        <f>IF('Język - Language'!$B$30="Polski",CONCATENATE("Cennik Reklamowy Wirtualna Polska Media S.A. - obowiązuje od 1.01.2023 r.",CHAR(10),"W celu zasięgnięcia dodatkowych informacji prosimy o kontakt z Biurem Reklamy,",CHAR(10),"reklama@grupawp.pl, tel. (+48) 22 57 63 900; fax (+48) 22 57 63 959"),CONCATENATE("Advertising price list of Wirtualna Polska Media S.A. - valid from January 1, 2023",CHAR(10),"For further information please contact the Advertising Office of WP,",CHAR(10),"reklama@grupawp.pl, phone (+48) 22 57 63 900; fax (+48) 22 57 63 959"))</f>
        <v>Cennik Reklamowy Wirtualna Polska Media S.A. - obowiązuje od 1.01.2023 r.
W celu zasięgnięcia dodatkowych informacji prosimy o kontakt z Biurem Reklamy,
reklama@grupawp.pl, tel. (+48) 22 57 63 900; fax (+48) 22 57 63 959</v>
      </c>
      <c r="J1" s="799"/>
      <c r="K1" s="799"/>
      <c r="L1" s="135"/>
    </row>
    <row r="2" spans="1:12" ht="12.75" customHeight="1">
      <c r="C2" s="135"/>
      <c r="D2" s="135"/>
      <c r="E2" s="135"/>
      <c r="F2" s="798"/>
      <c r="G2" s="798"/>
      <c r="H2" s="798"/>
      <c r="I2" s="799"/>
      <c r="J2" s="799"/>
      <c r="K2" s="799"/>
      <c r="L2" s="135"/>
    </row>
    <row r="3" spans="1:12" ht="12.75" customHeight="1">
      <c r="C3" s="135"/>
      <c r="D3" s="135"/>
      <c r="E3" s="135"/>
      <c r="F3" s="798"/>
      <c r="G3" s="798"/>
      <c r="H3" s="798"/>
      <c r="I3" s="799"/>
      <c r="J3" s="799"/>
      <c r="K3" s="799"/>
      <c r="L3" s="135"/>
    </row>
    <row r="4" spans="1:12" s="29" customFormat="1" ht="12.75" customHeight="1">
      <c r="B4" s="30"/>
      <c r="C4" s="520" t="str">
        <f>IF('Język - Language'!$B$30="Polski","           Reklama na wielu ekranach","           Multiscreen. Cross-Device")</f>
        <v xml:space="preserve">           Reklama na wielu ekranach</v>
      </c>
      <c r="D4" s="30"/>
      <c r="E4" s="30"/>
      <c r="K4" s="134" t="str">
        <f>IF('Język - Language'!$B$30="Polski","PL","EN")</f>
        <v>PL</v>
      </c>
    </row>
    <row r="5" spans="1:12" ht="12.75" customHeight="1"/>
    <row r="6" spans="1:12" ht="12.75" customHeight="1"/>
    <row r="7" spans="1:12" ht="25.5" customHeight="1">
      <c r="C7" s="879" t="str">
        <f>IF('Język - Language'!$B$30="Polski","O2: STRONA GŁÓWNA + ROS (DESKTOP)","O2: HOME PAGE + ROS (DESKTOP)")</f>
        <v>O2: STRONA GŁÓWNA + ROS (DESKTOP)</v>
      </c>
      <c r="D7" s="879"/>
      <c r="E7" s="879"/>
      <c r="F7" s="879" t="str">
        <f>IF('Język - Language'!$B$30="Polski","O2: STRONA GŁÓWNA + ROS (MOBILE)¹","O2 HOME PAGE + ROS (MOBILE)¹")</f>
        <v>O2: STRONA GŁÓWNA + ROS (MOBILE)¹</v>
      </c>
      <c r="G7" s="879"/>
      <c r="H7" s="879"/>
      <c r="I7" s="879" t="s">
        <v>4</v>
      </c>
      <c r="J7" s="879" t="str">
        <f>IF('Język - Language'!$B$30="Polski","CENA RC","PRICE")</f>
        <v>CENA RC</v>
      </c>
      <c r="K7" s="884"/>
    </row>
    <row r="8" spans="1:12" ht="12.75" customHeight="1">
      <c r="C8" s="880"/>
      <c r="D8" s="880"/>
      <c r="E8" s="880"/>
      <c r="F8" s="880"/>
      <c r="G8" s="880"/>
      <c r="H8" s="880"/>
      <c r="I8" s="880"/>
      <c r="J8" s="539" t="str">
        <f>IF('Język - Language'!$B$30="Polski","styczeń-wrzesień","Jan-Sep")</f>
        <v>styczeń-wrzesień</v>
      </c>
      <c r="K8" s="542" t="str">
        <f>IF('Język - Language'!$B$30="Polski","październik-grudzień","Oct-Dec")</f>
        <v>październik-grudzień</v>
      </c>
    </row>
    <row r="9" spans="1:12" ht="25.5" customHeight="1">
      <c r="B9" s="392"/>
      <c r="C9" s="881" t="s">
        <v>52</v>
      </c>
      <c r="D9" s="882"/>
      <c r="E9" s="883"/>
      <c r="F9" s="885" t="s">
        <v>53</v>
      </c>
      <c r="G9" s="886"/>
      <c r="H9" s="903"/>
      <c r="I9" s="166" t="s">
        <v>7</v>
      </c>
      <c r="J9" s="376">
        <v>150000</v>
      </c>
      <c r="K9" s="418">
        <v>185000</v>
      </c>
    </row>
    <row r="10" spans="1:12" ht="25.5" customHeight="1">
      <c r="B10" s="821" t="str">
        <f>IF('Język - Language'!$B$30="Polski","Górny slot (1-sza dniówka: 3 pierwsze odsłony)","Upper slot 3/uu")</f>
        <v>Górny slot (1-sza dniówka: 3 pierwsze odsłony)</v>
      </c>
      <c r="C10" s="881" t="s">
        <v>477</v>
      </c>
      <c r="D10" s="882"/>
      <c r="E10" s="883"/>
      <c r="F10" s="896" t="str">
        <f>IF('Język - Language'!$B$30="Polski","Banner skalowalny 3/uu³","Adjusted Banner 3/uu³")</f>
        <v>Banner skalowalny 3/uu³</v>
      </c>
      <c r="G10" s="897"/>
      <c r="H10" s="898"/>
      <c r="I10" s="389" t="s">
        <v>10</v>
      </c>
      <c r="J10" s="382">
        <v>280000</v>
      </c>
      <c r="K10" s="419">
        <v>310000</v>
      </c>
    </row>
    <row r="11" spans="1:12" ht="25.5" customHeight="1">
      <c r="B11" s="821"/>
      <c r="C11" s="881" t="s">
        <v>478</v>
      </c>
      <c r="D11" s="882"/>
      <c r="E11" s="883"/>
      <c r="F11" s="885" t="str">
        <f>IF('Język - Language'!$B$30="Polski","Rectangle/Banner skalowalny XL 1/uu + Banner skalowalny 2/uu² ³","Rectangle/Adjusted Banner XL 1/uu + Adjusted Banner 2/uu² ³")</f>
        <v>Rectangle/Banner skalowalny XL 1/uu + Banner skalowalny 2/uu² ³</v>
      </c>
      <c r="G11" s="886"/>
      <c r="H11" s="903"/>
      <c r="I11" s="387" t="s">
        <v>10</v>
      </c>
      <c r="J11" s="376">
        <v>290000</v>
      </c>
      <c r="K11" s="419">
        <v>345000</v>
      </c>
    </row>
    <row r="12" spans="1:12" ht="25.5" customHeight="1">
      <c r="B12" s="821"/>
      <c r="C12" s="881" t="s">
        <v>54</v>
      </c>
      <c r="D12" s="882"/>
      <c r="E12" s="883"/>
      <c r="F12" s="885" t="s">
        <v>54</v>
      </c>
      <c r="G12" s="886"/>
      <c r="H12" s="903"/>
      <c r="I12" s="389" t="s">
        <v>10</v>
      </c>
      <c r="J12" s="382">
        <v>325000</v>
      </c>
      <c r="K12" s="420">
        <v>395000</v>
      </c>
    </row>
    <row r="13" spans="1:12" ht="25.5" customHeight="1">
      <c r="B13" s="821"/>
      <c r="C13" s="906" t="s">
        <v>479</v>
      </c>
      <c r="D13" s="907"/>
      <c r="E13" s="908"/>
      <c r="F13" s="910" t="str">
        <f>IF('Język - Language'!$B$30="Polski","Rectangle/Banner skalowalny XL 1/uu + Banner skalowalny 2/uu³","Rectangle/Adjusted Banner XL 1/uu + Adjusted Banner 2/uu³")</f>
        <v>Rectangle/Banner skalowalny XL 1/uu + Banner skalowalny 2/uu³</v>
      </c>
      <c r="G13" s="911"/>
      <c r="H13" s="912"/>
      <c r="I13" s="390" t="s">
        <v>10</v>
      </c>
      <c r="J13" s="388">
        <v>320000</v>
      </c>
      <c r="K13" s="421">
        <v>385000</v>
      </c>
    </row>
    <row r="14" spans="1:12" ht="25.5" customHeight="1">
      <c r="B14" s="391"/>
      <c r="C14" s="879" t="str">
        <f>IF('Język - Language'!$B$30="Polski","O2: STRONA GŁÓWNA (DESKTOP)","O2: HOME PAGE (DESKTOP)")</f>
        <v>O2: STRONA GŁÓWNA (DESKTOP)</v>
      </c>
      <c r="D14" s="879"/>
      <c r="E14" s="879"/>
      <c r="F14" s="879" t="str">
        <f>IF('Język - Language'!$B$30="Polski","O2: STRONA GŁÓWNA (MOBILE)¹","O2: HOME PAGE (MOBILE)¹")</f>
        <v>O2: STRONA GŁÓWNA (MOBILE)¹</v>
      </c>
      <c r="G14" s="879"/>
      <c r="H14" s="879"/>
      <c r="I14" s="879" t="s">
        <v>4</v>
      </c>
      <c r="J14" s="879" t="str">
        <f>IF('Język - Language'!$B$30="Polski","CENA RC","PRICE")</f>
        <v>CENA RC</v>
      </c>
      <c r="K14" s="884"/>
    </row>
    <row r="15" spans="1:12" ht="12.75" customHeight="1">
      <c r="C15" s="880"/>
      <c r="D15" s="880"/>
      <c r="E15" s="880"/>
      <c r="F15" s="880"/>
      <c r="G15" s="880"/>
      <c r="H15" s="880"/>
      <c r="I15" s="880"/>
      <c r="J15" s="539" t="str">
        <f>IF('Język - Language'!$B$30="Polski","styczeń-wrzesień","Jan-Sep")</f>
        <v>styczeń-wrzesień</v>
      </c>
      <c r="K15" s="542" t="str">
        <f>IF('Język - Language'!$B$30="Polski","październik-grudzień","Oct-Dec")</f>
        <v>październik-grudzień</v>
      </c>
    </row>
    <row r="16" spans="1:12" s="451" customFormat="1" ht="25.5" customHeight="1">
      <c r="B16" s="453"/>
      <c r="C16" s="953" t="s">
        <v>502</v>
      </c>
      <c r="D16" s="953"/>
      <c r="E16" s="954"/>
      <c r="F16" s="953" t="s">
        <v>502</v>
      </c>
      <c r="G16" s="953"/>
      <c r="H16" s="954"/>
      <c r="I16" s="454" t="s">
        <v>7</v>
      </c>
      <c r="J16" s="452">
        <v>40000</v>
      </c>
      <c r="K16" s="199">
        <v>50000</v>
      </c>
    </row>
    <row r="17" spans="1:11" ht="25.5" customHeight="1">
      <c r="C17" s="896" t="s">
        <v>493</v>
      </c>
      <c r="D17" s="897"/>
      <c r="E17" s="898"/>
      <c r="F17" s="896" t="s">
        <v>495</v>
      </c>
      <c r="G17" s="897"/>
      <c r="H17" s="898"/>
      <c r="I17" s="389" t="s">
        <v>7</v>
      </c>
      <c r="J17" s="382">
        <v>65000</v>
      </c>
      <c r="K17" s="420">
        <v>80000</v>
      </c>
    </row>
    <row r="18" spans="1:11" ht="25.5" customHeight="1">
      <c r="C18" s="885" t="s">
        <v>494</v>
      </c>
      <c r="D18" s="886"/>
      <c r="E18" s="903"/>
      <c r="F18" s="885" t="s">
        <v>496</v>
      </c>
      <c r="G18" s="886"/>
      <c r="H18" s="903"/>
      <c r="I18" s="387" t="s">
        <v>7</v>
      </c>
      <c r="J18" s="376">
        <v>55000</v>
      </c>
      <c r="K18" s="419">
        <v>70000</v>
      </c>
    </row>
    <row r="19" spans="1:11" ht="25.5" customHeight="1">
      <c r="B19" s="820" t="s">
        <v>21</v>
      </c>
      <c r="C19" s="885" t="s">
        <v>491</v>
      </c>
      <c r="D19" s="886"/>
      <c r="E19" s="903"/>
      <c r="F19" s="885" t="s">
        <v>491</v>
      </c>
      <c r="G19" s="886"/>
      <c r="H19" s="903"/>
      <c r="I19" s="387" t="s">
        <v>7</v>
      </c>
      <c r="J19" s="376">
        <v>50000</v>
      </c>
      <c r="K19" s="419">
        <v>65000</v>
      </c>
    </row>
    <row r="20" spans="1:11" ht="25.5" customHeight="1">
      <c r="B20" s="820"/>
      <c r="C20" s="918" t="s">
        <v>492</v>
      </c>
      <c r="D20" s="919"/>
      <c r="E20" s="920"/>
      <c r="F20" s="950" t="s">
        <v>492</v>
      </c>
      <c r="G20" s="951"/>
      <c r="H20" s="952"/>
      <c r="I20" s="403" t="s">
        <v>7</v>
      </c>
      <c r="J20" s="377">
        <v>45000</v>
      </c>
      <c r="K20" s="422">
        <v>55000</v>
      </c>
    </row>
    <row r="21" spans="1:11" ht="12.75" customHeight="1">
      <c r="C21" s="685" t="str">
        <f>IF('Język - Language'!$B$30="Polski","- Emisja na wszystkich urządzeniach. Niedostarczenie kreacji na jedno z urządzeń nie skutkuje obniżką ceny pakietowej.","- All screen emission. Failure on the creation of one of the devices does not result in price reduction package.")</f>
        <v>- Emisja na wszystkich urządzeniach. Niedostarczenie kreacji na jedno z urządzeń nie skutkuje obniżką ceny pakietowej.</v>
      </c>
      <c r="D21" s="686"/>
      <c r="E21" s="686"/>
      <c r="F21" s="686"/>
      <c r="G21" s="686"/>
      <c r="H21" s="686"/>
      <c r="I21" s="686"/>
      <c r="J21" s="686"/>
      <c r="K21" s="687"/>
    </row>
    <row r="22" spans="1:11">
      <c r="C22" s="142" t="str">
        <f>IF('Język - Language'!$B$30="Polski","- Dopłata za expand na desktop + tablet: +50% ","- Expand version of ad format for desktop + tablet with extra charge +50%")</f>
        <v xml:space="preserve">- Dopłata za expand na desktop + tablet: +50% </v>
      </c>
      <c r="D22" s="688"/>
      <c r="E22" s="688"/>
      <c r="F22" s="688"/>
      <c r="G22" s="688"/>
      <c r="H22" s="688"/>
      <c r="I22" s="688"/>
      <c r="J22" s="688"/>
      <c r="K22" s="689"/>
    </row>
    <row r="23" spans="1:11">
      <c r="C23" s="142" t="str">
        <f>IF('Język - Language'!$B$30="Polski","- Emisja innych pakietów Multiscreen dostępna na życzenie z dodatkowymi rabatami","- Others Multiscreen Packages are available on demand. We offer special prices.")</f>
        <v>- Emisja innych pakietów Multiscreen dostępna na życzenie z dodatkowymi rabatami</v>
      </c>
      <c r="D23" s="688"/>
      <c r="E23" s="688"/>
      <c r="F23" s="688"/>
      <c r="G23" s="688"/>
      <c r="H23" s="688"/>
      <c r="I23" s="688"/>
      <c r="J23" s="688"/>
      <c r="K23" s="689"/>
    </row>
    <row r="24" spans="1:11">
      <c r="C24" s="690"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D24" s="688"/>
      <c r="E24" s="688"/>
      <c r="F24" s="688"/>
      <c r="G24" s="688"/>
      <c r="H24" s="688"/>
      <c r="I24" s="688"/>
      <c r="J24" s="688"/>
      <c r="K24" s="689"/>
    </row>
    <row r="25" spans="1:11">
      <c r="C25" s="96" t="str">
        <f>IF('Język - Language'!$B$30="Polski","² Istnieje możliwość emisji Bannera z tapetą na pierwszej odsłonie wyłącznie na SG o2.","² It is possible to broadcast a Banner with wallpaper on the first page only on the o2 homepage.")</f>
        <v>² Istnieje możliwość emisji Bannera z tapetą na pierwszej odsłonie wyłącznie na SG o2.</v>
      </c>
      <c r="D25" s="688"/>
      <c r="E25" s="688"/>
      <c r="F25" s="688"/>
      <c r="G25" s="688"/>
      <c r="H25" s="688"/>
      <c r="I25" s="688"/>
      <c r="J25" s="688"/>
      <c r="K25" s="688"/>
    </row>
    <row r="26" spans="1:11" ht="12.75" customHeight="1">
      <c r="B26" s="343"/>
      <c r="C26" s="767" t="str">
        <f>IF('Język - Language'!$B$30="Polski","³ format dostępny również w PMP (Private Marketplace), cena ustalana indywidualnie","³ ad form is also available in PMP (Private Marketplace), the price is set individually")</f>
        <v>³ format dostępny również w PMP (Private Marketplace), cena ustalana indywidualnie</v>
      </c>
      <c r="D26" s="113"/>
      <c r="E26" s="113"/>
      <c r="F26" s="610"/>
      <c r="G26" s="610"/>
    </row>
    <row r="27" spans="1:11" ht="12.75" customHeight="1">
      <c r="B27" s="343"/>
      <c r="C27" s="767"/>
      <c r="D27" s="113"/>
      <c r="E27" s="113"/>
      <c r="F27" s="610"/>
      <c r="G27" s="610"/>
    </row>
    <row r="28" spans="1:11" ht="12.75" customHeight="1">
      <c r="B28" s="343"/>
      <c r="C28" s="767"/>
      <c r="D28" s="113"/>
      <c r="E28" s="113"/>
      <c r="F28" s="610"/>
      <c r="G28" s="610"/>
    </row>
    <row r="29" spans="1:11" ht="25.5" customHeight="1">
      <c r="B29" s="859" t="str">
        <f>IF('Język - Language'!$B$30="Polski","PAKIET GIGAZASIĘG¹ (DESKTOP)","GIGAREACH PACKAGE¹ (DESKTOP)")</f>
        <v>PAKIET GIGAZASIĘG¹ (DESKTOP)</v>
      </c>
      <c r="C29" s="859"/>
      <c r="D29" s="859"/>
      <c r="E29" s="859"/>
      <c r="F29" s="859" t="str">
        <f>IF('Język - Language'!$B$30="Polski","PAKIET GIGAZASIĘG¹ (MOBILE)","GIGAREACH PACKAGE¹ (MOBILE)")</f>
        <v>PAKIET GIGAZASIĘG¹ (MOBILE)</v>
      </c>
      <c r="G29" s="859"/>
      <c r="H29" s="859"/>
      <c r="I29" s="859" t="str">
        <f>IF('Język - Language'!$B$30="Polski","CZAS EMISJI","TIME")</f>
        <v>CZAS EMISJI</v>
      </c>
      <c r="J29" s="859" t="str">
        <f>IF('Język - Language'!$B$30="Polski","CENA RC","RC PRICE")</f>
        <v>CENA RC</v>
      </c>
      <c r="K29" s="860"/>
    </row>
    <row r="30" spans="1:11" ht="12.75" customHeight="1">
      <c r="B30" s="923"/>
      <c r="C30" s="923"/>
      <c r="D30" s="923"/>
      <c r="E30" s="923"/>
      <c r="F30" s="923"/>
      <c r="G30" s="923"/>
      <c r="H30" s="923"/>
      <c r="I30" s="923"/>
      <c r="J30" s="541" t="str">
        <f>IF('Język - Language'!$B$30="Polski","styczeń-wrzesień","Jan-Sep")</f>
        <v>styczeń-wrzesień</v>
      </c>
      <c r="K30" s="550" t="str">
        <f>IF('Język - Language'!$B$30="Polski","październik-grudzień","Oct-Dec")</f>
        <v>październik-grudzień</v>
      </c>
    </row>
    <row r="31" spans="1:11" ht="25.5" customHeight="1">
      <c r="A31" s="93"/>
      <c r="B31" s="944" t="str">
        <f>IF('Język - Language'!$B$30="Polski","Panel Premium","Panel Premium")</f>
        <v>Panel Premium</v>
      </c>
      <c r="C31" s="945"/>
      <c r="D31" s="945"/>
      <c r="E31" s="946"/>
      <c r="F31" s="947" t="str">
        <f>IF('Język - Language'!$B$30="Polski","Panel Premium","Panel Premium")</f>
        <v>Panel Premium</v>
      </c>
      <c r="G31" s="948"/>
      <c r="H31" s="949"/>
      <c r="I31" s="793" t="str">
        <f>IF('Język - Language'!$B$30="Polski","Flat Fee / dzień","Flat Fee / 24 h")</f>
        <v>Flat Fee / dzień</v>
      </c>
      <c r="J31" s="794">
        <v>1345000</v>
      </c>
      <c r="K31" s="795">
        <v>1500000</v>
      </c>
    </row>
    <row r="32" spans="1:11" ht="13.5" customHeight="1">
      <c r="B32" s="137" t="s">
        <v>545</v>
      </c>
      <c r="C32" s="380"/>
      <c r="D32" s="380"/>
      <c r="E32" s="380"/>
      <c r="F32" s="380"/>
      <c r="G32" s="380"/>
      <c r="H32" s="380"/>
      <c r="I32" s="231"/>
      <c r="J32" s="234"/>
    </row>
    <row r="33" spans="1:13">
      <c r="C33" s="41"/>
      <c r="D33" s="41"/>
      <c r="E33" s="41"/>
      <c r="F33" s="41"/>
      <c r="G33" s="41"/>
      <c r="H33" s="41"/>
      <c r="I33" s="41"/>
      <c r="J33" s="41"/>
      <c r="K33" s="41"/>
      <c r="L33" s="41"/>
    </row>
    <row r="36" spans="1:13" ht="25.5" customHeight="1">
      <c r="B36" s="904" t="str">
        <f>IF('Język - Language'!$B$30="Polski","PUDELEK: SG + ROS (DESKTOP)","PUDELEK: HOMEPAGE + ROS (DESKTOP)")</f>
        <v>PUDELEK: SG + ROS (DESKTOP)</v>
      </c>
      <c r="C36" s="904"/>
      <c r="D36" s="904"/>
      <c r="E36" s="904"/>
      <c r="F36" s="904" t="str">
        <f>IF('Język - Language'!$B$30="Polski","PUDELEK: SG + ROS (MOBILE)¹","PUDELEK: HOMEPAGE + ROS (MOBILE)¹")</f>
        <v>PUDELEK: SG + ROS (MOBILE)¹</v>
      </c>
      <c r="G36" s="904"/>
      <c r="H36" s="904"/>
      <c r="I36" s="904" t="str">
        <f>IF('Język - Language'!$B$30="Polski","MODEL EMISJI / CZAS","TIME")</f>
        <v>MODEL EMISJI / CZAS</v>
      </c>
      <c r="J36" s="904" t="str">
        <f>IF('Język - Language'!$B$30="Polski","CENA RC","PRICE")</f>
        <v>CENA RC</v>
      </c>
      <c r="K36" s="905"/>
    </row>
    <row r="37" spans="1:13" ht="12.75" customHeight="1">
      <c r="B37" s="909"/>
      <c r="C37" s="909"/>
      <c r="D37" s="909"/>
      <c r="E37" s="909"/>
      <c r="F37" s="909"/>
      <c r="G37" s="909"/>
      <c r="H37" s="909"/>
      <c r="I37" s="909"/>
      <c r="J37" s="545" t="str">
        <f>IF('Język - Language'!$B$30="Polski","styczeń-wrzesień","Jan-Sep")</f>
        <v>styczeń-wrzesień</v>
      </c>
      <c r="K37" s="545" t="str">
        <f>IF('Język - Language'!$B$30="Polski","październik-grudzień","Oct-Dec")</f>
        <v>październik-grudzień</v>
      </c>
    </row>
    <row r="38" spans="1:13" ht="25.5" customHeight="1">
      <c r="B38" s="913" t="s">
        <v>55</v>
      </c>
      <c r="C38" s="914"/>
      <c r="D38" s="914"/>
      <c r="E38" s="915"/>
      <c r="F38" s="896" t="s">
        <v>56</v>
      </c>
      <c r="G38" s="897"/>
      <c r="H38" s="898"/>
      <c r="I38" s="393" t="s">
        <v>57</v>
      </c>
      <c r="J38" s="382">
        <v>210000</v>
      </c>
      <c r="K38" s="163">
        <v>255000</v>
      </c>
      <c r="L38" s="756"/>
      <c r="M38" s="756"/>
    </row>
    <row r="39" spans="1:13" ht="25.5" customHeight="1">
      <c r="B39" s="913" t="str">
        <f>IF('Język - Language'!$B$30="Polski","Double Billboard lub Wideboard 3/uu²","Double Billboard or Wideboard 3/uu²")</f>
        <v>Double Billboard lub Wideboard 3/uu²</v>
      </c>
      <c r="C39" s="914"/>
      <c r="D39" s="914"/>
      <c r="E39" s="915"/>
      <c r="F39" s="897" t="str">
        <f>IF('Język - Language'!$B$30="Polski","Banner skalowalny 3/uu²","Adjusted Banner 3/uu²")</f>
        <v>Banner skalowalny 3/uu²</v>
      </c>
      <c r="G39" s="897"/>
      <c r="H39" s="898"/>
      <c r="I39" s="404" t="str">
        <f>IF('Język - Language'!$B$30="Polski","3/uu / dzień","3/uu / 1 day")</f>
        <v>3/uu / dzień</v>
      </c>
      <c r="J39" s="382">
        <v>210000</v>
      </c>
      <c r="K39" s="163">
        <v>255000</v>
      </c>
    </row>
    <row r="40" spans="1:13" ht="25.5" customHeight="1">
      <c r="B40" s="881" t="s">
        <v>480</v>
      </c>
      <c r="C40" s="882"/>
      <c r="D40" s="882"/>
      <c r="E40" s="883"/>
      <c r="F40" s="849" t="str">
        <f>IF('Język - Language'!$B$30="Polski","Rectangle/Banner skalowalny XL 1/uu + Banner skalowalny 2/uu²","Rectangle/Adjusted Banner XL 1/uu + Adjusted Banner 2/uu²")</f>
        <v>Rectangle/Banner skalowalny XL 1/uu + Banner skalowalny 2/uu²</v>
      </c>
      <c r="G40" s="887"/>
      <c r="H40" s="850"/>
      <c r="I40" s="404" t="str">
        <f>IF('Język - Language'!$B$30="Polski","3/uu / dzień","3/uu / 1 day")</f>
        <v>3/uu / dzień</v>
      </c>
      <c r="J40" s="376">
        <v>245000</v>
      </c>
      <c r="K40" s="211">
        <v>290000</v>
      </c>
    </row>
    <row r="41" spans="1:13" ht="25.5" customHeight="1">
      <c r="B41" s="881" t="s">
        <v>54</v>
      </c>
      <c r="C41" s="882"/>
      <c r="D41" s="882"/>
      <c r="E41" s="883"/>
      <c r="F41" s="849" t="s">
        <v>54</v>
      </c>
      <c r="G41" s="887"/>
      <c r="H41" s="850"/>
      <c r="I41" s="404" t="s">
        <v>10</v>
      </c>
      <c r="J41" s="376">
        <v>275000</v>
      </c>
      <c r="K41" s="211">
        <v>330000</v>
      </c>
    </row>
    <row r="42" spans="1:13" ht="25.5" customHeight="1">
      <c r="B42" s="918" t="s">
        <v>481</v>
      </c>
      <c r="C42" s="919"/>
      <c r="D42" s="919"/>
      <c r="E42" s="920"/>
      <c r="F42" s="934" t="str">
        <f>IF('Język - Language'!$B$30="Polski","Rectangle/Banner skalowalny XL 1/uu + Banner skalowalny 2/uu²","Rectangle/Adjusted Banner XL 1/uu + Adjusted Banner 2/uu²")</f>
        <v>Rectangle/Banner skalowalny XL 1/uu + Banner skalowalny 2/uu²</v>
      </c>
      <c r="G42" s="941"/>
      <c r="H42" s="935"/>
      <c r="I42" s="628" t="str">
        <f>IF('Język - Language'!$B$30="Polski","3/uu / dzień","3/uu / 1 day")</f>
        <v>3/uu / dzień</v>
      </c>
      <c r="J42" s="629">
        <v>275000</v>
      </c>
      <c r="K42" s="213">
        <v>330000</v>
      </c>
    </row>
    <row r="43" spans="1:13">
      <c r="B43" s="96"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J43" s="684"/>
      <c r="K43" s="684"/>
    </row>
    <row r="44" spans="1:13">
      <c r="B44" s="767" t="str">
        <f>IF('Język - Language'!$B$30="Polski","² format dostępny również w PMP (Private Marketplace), cena ustalana indywidualnie","² ad form is also available in PMP (Private Marketplace), the price is set individually")</f>
        <v>² format dostępny również w PMP (Private Marketplace), cena ustalana indywidualnie</v>
      </c>
    </row>
    <row r="45" spans="1:13">
      <c r="B45" s="96"/>
    </row>
    <row r="46" spans="1:13">
      <c r="B46" s="96"/>
    </row>
    <row r="47" spans="1:13">
      <c r="B47" s="396"/>
      <c r="C47" s="397"/>
      <c r="D47" s="397"/>
      <c r="E47" s="397"/>
      <c r="F47" s="397"/>
      <c r="G47" s="397"/>
      <c r="H47" s="397"/>
      <c r="I47" s="397"/>
      <c r="J47" s="397"/>
      <c r="K47" s="397"/>
    </row>
    <row r="48" spans="1:13" ht="25.5" customHeight="1">
      <c r="A48" s="395"/>
      <c r="B48" s="921" t="s">
        <v>58</v>
      </c>
      <c r="C48" s="921"/>
      <c r="D48" s="921"/>
      <c r="E48" s="921"/>
      <c r="F48" s="921" t="s">
        <v>59</v>
      </c>
      <c r="G48" s="921"/>
      <c r="H48" s="921"/>
      <c r="I48" s="921" t="str">
        <f>IF('Język - Language'!$B$30="Polski","MODEL EMISJI / CZAS","MODEL OF EMISSION")</f>
        <v>MODEL EMISJI / CZAS</v>
      </c>
      <c r="J48" s="899" t="str">
        <f>IF('Język - Language'!$B$30="Polski","CENA RC","RC PRICE")</f>
        <v>CENA RC</v>
      </c>
      <c r="K48" s="900"/>
    </row>
    <row r="49" spans="1:11" ht="12.75" customHeight="1">
      <c r="A49" s="395"/>
      <c r="B49" s="922"/>
      <c r="C49" s="922"/>
      <c r="D49" s="922"/>
      <c r="E49" s="922"/>
      <c r="F49" s="922"/>
      <c r="G49" s="922"/>
      <c r="H49" s="922"/>
      <c r="I49" s="922"/>
      <c r="J49" s="546" t="str">
        <f>IF('Język - Language'!$B$30="Polski","styczeń-wrzesień","Jan-Sep")</f>
        <v>styczeń-wrzesień</v>
      </c>
      <c r="K49" s="548" t="str">
        <f>IF('Język - Language'!$B$30="Polski","październik-grudzień","Oct-Dec")</f>
        <v>październik-grudzień</v>
      </c>
    </row>
    <row r="50" spans="1:11" ht="25.5" customHeight="1">
      <c r="B50" s="924" t="s">
        <v>55</v>
      </c>
      <c r="C50" s="925"/>
      <c r="D50" s="925"/>
      <c r="E50" s="926"/>
      <c r="F50" s="924" t="s">
        <v>60</v>
      </c>
      <c r="G50" s="925"/>
      <c r="H50" s="926"/>
      <c r="I50" s="456" t="s">
        <v>7</v>
      </c>
      <c r="J50" s="455">
        <v>85000</v>
      </c>
      <c r="K50" s="457">
        <v>100000</v>
      </c>
    </row>
    <row r="51" spans="1:11" ht="25.5" customHeight="1">
      <c r="B51" s="819" t="s">
        <v>482</v>
      </c>
      <c r="C51" s="940"/>
      <c r="D51" s="940"/>
      <c r="E51" s="851"/>
      <c r="F51" s="819" t="str">
        <f>IF('Język - Language'!$B$30="Polski","Banner skalowalny 3/uu²","Adjusted Banner 3/uu²")</f>
        <v>Banner skalowalny 3/uu²</v>
      </c>
      <c r="G51" s="940"/>
      <c r="H51" s="851"/>
      <c r="I51" s="901" t="s">
        <v>10</v>
      </c>
      <c r="J51" s="164">
        <v>190000</v>
      </c>
      <c r="K51" s="163">
        <v>230000</v>
      </c>
    </row>
    <row r="52" spans="1:11" ht="25.5" customHeight="1">
      <c r="B52" s="846" t="s">
        <v>483</v>
      </c>
      <c r="C52" s="888"/>
      <c r="D52" s="888"/>
      <c r="E52" s="889"/>
      <c r="F52" s="846" t="str">
        <f>IF('Język - Language'!$B$30="Polski","Rectangle/Banner skalowalny XL 1/uu + Banner skalowalny 2/uu²","Rectangle/Adjusted Banner XL 1/uu + Adjusted Banner 2/uu²")</f>
        <v>Rectangle/Banner skalowalny XL 1/uu + Banner skalowalny 2/uu²</v>
      </c>
      <c r="G52" s="888"/>
      <c r="H52" s="889"/>
      <c r="I52" s="901"/>
      <c r="J52" s="152">
        <v>220000</v>
      </c>
      <c r="K52" s="211">
        <v>265000</v>
      </c>
    </row>
    <row r="53" spans="1:11" ht="25.5" customHeight="1">
      <c r="A53" s="93"/>
      <c r="B53" s="930" t="s">
        <v>481</v>
      </c>
      <c r="C53" s="927"/>
      <c r="D53" s="927"/>
      <c r="E53" s="928"/>
      <c r="F53" s="927" t="str">
        <f>IF('Język - Language'!$B$30="Polski","Rectangle/Banner skalowalny XL 1/uu + Banner skalowalny 2/uu²","Rectangle/Adjusted Banner XL 1/uu + Adjusted Banner 2/uu²")</f>
        <v>Rectangle/Banner skalowalny XL 1/uu + Banner skalowalny 2/uu²</v>
      </c>
      <c r="G53" s="927"/>
      <c r="H53" s="928"/>
      <c r="I53" s="902"/>
      <c r="J53" s="398">
        <v>260000</v>
      </c>
      <c r="K53" s="423">
        <v>315000</v>
      </c>
    </row>
    <row r="54" spans="1:11" ht="25.5" customHeight="1">
      <c r="A54" s="395"/>
      <c r="B54" s="933" t="s">
        <v>61</v>
      </c>
      <c r="C54" s="933"/>
      <c r="D54" s="933"/>
      <c r="E54" s="933"/>
      <c r="F54" s="933" t="s">
        <v>62</v>
      </c>
      <c r="G54" s="933"/>
      <c r="H54" s="933"/>
      <c r="I54" s="921" t="str">
        <f>IF('Język - Language'!$B$30="Polski","MODEL EMISJI / CZAS","MODEL OF EMISSION")</f>
        <v>MODEL EMISJI / CZAS</v>
      </c>
      <c r="J54" s="899" t="str">
        <f>IF('Język - Language'!$B$30="Polski","CENA RC","RC PRICE")</f>
        <v>CENA RC</v>
      </c>
      <c r="K54" s="900"/>
    </row>
    <row r="55" spans="1:11" ht="12.75" customHeight="1">
      <c r="B55" s="922"/>
      <c r="C55" s="922"/>
      <c r="D55" s="922"/>
      <c r="E55" s="922"/>
      <c r="F55" s="922"/>
      <c r="G55" s="922"/>
      <c r="H55" s="922"/>
      <c r="I55" s="922"/>
      <c r="J55" s="547" t="str">
        <f>IF('Język - Language'!$B$30="Polski","styczeń-wrzesień","Jan-Sep")</f>
        <v>styczeń-wrzesień</v>
      </c>
      <c r="K55" s="549" t="str">
        <f>IF('Język - Language'!$B$30="Polski","październik-grudzień","Oct-Dec")</f>
        <v>październik-grudzień</v>
      </c>
    </row>
    <row r="56" spans="1:11" ht="25.5" customHeight="1">
      <c r="A56" s="93"/>
      <c r="B56" s="819" t="s">
        <v>484</v>
      </c>
      <c r="C56" s="940"/>
      <c r="D56" s="940"/>
      <c r="E56" s="851"/>
      <c r="F56" s="819" t="str">
        <f>IF('Język - Language'!$B$30="Polski","Banner skalowalny²","Adjusted Banner²")</f>
        <v>Banner skalowalny²</v>
      </c>
      <c r="G56" s="940"/>
      <c r="H56" s="851"/>
      <c r="I56" s="901" t="str">
        <f>IF('Język - Language'!$B$30="Polski","Flat Fee / tydzień","Flat Fee / 1 week")</f>
        <v>Flat Fee / tydzień</v>
      </c>
      <c r="J56" s="164">
        <v>110000</v>
      </c>
      <c r="K56" s="424">
        <v>135000</v>
      </c>
    </row>
    <row r="57" spans="1:11" ht="25.5" customHeight="1">
      <c r="A57" s="93"/>
      <c r="B57" s="849" t="s">
        <v>485</v>
      </c>
      <c r="C57" s="887"/>
      <c r="D57" s="887"/>
      <c r="E57" s="850"/>
      <c r="F57" s="849" t="str">
        <f>IF('Język - Language'!$B$30="Polski","Rectangle/Banner skalowalny XL²","Rectangle/Adjusted Banner XL²")</f>
        <v>Rectangle/Banner skalowalny XL²</v>
      </c>
      <c r="G57" s="887"/>
      <c r="H57" s="850"/>
      <c r="I57" s="901"/>
      <c r="J57" s="152">
        <v>150000</v>
      </c>
      <c r="K57" s="211">
        <v>295000</v>
      </c>
    </row>
    <row r="58" spans="1:11" ht="25.5" customHeight="1">
      <c r="A58" s="93"/>
      <c r="B58" s="849" t="s">
        <v>486</v>
      </c>
      <c r="C58" s="887"/>
      <c r="D58" s="887"/>
      <c r="E58" s="850"/>
      <c r="F58" s="849" t="str">
        <f>IF('Język - Language'!$B$30="Polski","Rectangle/Banner skalowalny XL²","Rectangle/Adjusted Banner XL²")</f>
        <v>Rectangle/Banner skalowalny XL²</v>
      </c>
      <c r="G58" s="887"/>
      <c r="H58" s="850"/>
      <c r="I58" s="901"/>
      <c r="J58" s="152">
        <v>175000</v>
      </c>
      <c r="K58" s="211">
        <v>210000</v>
      </c>
    </row>
    <row r="59" spans="1:11" ht="25.5" customHeight="1">
      <c r="A59" s="93"/>
      <c r="B59" s="849" t="s">
        <v>497</v>
      </c>
      <c r="C59" s="887"/>
      <c r="D59" s="887"/>
      <c r="E59" s="850"/>
      <c r="F59" s="849" t="s">
        <v>499</v>
      </c>
      <c r="G59" s="887"/>
      <c r="H59" s="850"/>
      <c r="I59" s="901"/>
      <c r="J59" s="164">
        <v>65000</v>
      </c>
      <c r="K59" s="211">
        <v>80000</v>
      </c>
    </row>
    <row r="60" spans="1:11" ht="25.5" customHeight="1">
      <c r="A60" s="93"/>
      <c r="B60" s="843" t="s">
        <v>498</v>
      </c>
      <c r="C60" s="931"/>
      <c r="D60" s="931"/>
      <c r="E60" s="932"/>
      <c r="F60" s="934" t="str">
        <f>IF('Język - Language'!$B$30="Polski","Banner skalowany²","Adjusted Banner²")</f>
        <v>Banner skalowany²</v>
      </c>
      <c r="G60" s="941"/>
      <c r="H60" s="935"/>
      <c r="I60" s="943"/>
      <c r="J60" s="381">
        <v>75000</v>
      </c>
      <c r="K60" s="374">
        <v>90000</v>
      </c>
    </row>
    <row r="61" spans="1:11">
      <c r="B61" s="96" t="s">
        <v>63</v>
      </c>
      <c r="K61" s="684"/>
    </row>
    <row r="62" spans="1:11">
      <c r="B62" s="767" t="str">
        <f>IF('Język - Language'!$B$30="Polski","² format dostępny również w PMP (Private Marketplace), cena ustalana indywidualnie","² ad form is also available in PMP (Private Marketplace), the price is set individually")</f>
        <v>² format dostępny również w PMP (Private Marketplace), cena ustalana indywidualnie</v>
      </c>
    </row>
    <row r="63" spans="1:11">
      <c r="B63" s="96"/>
    </row>
    <row r="64" spans="1:11">
      <c r="B64" s="96"/>
    </row>
    <row r="65" spans="1:13">
      <c r="B65" s="96"/>
    </row>
    <row r="66" spans="1:13" ht="25.5" customHeight="1">
      <c r="B66" s="859" t="str">
        <f>IF('Język - Language'!$B$30="Polski","WP WIADOMOŚCI: STRONA GŁÓWNA +ROS (DESKTOP)","WP WIADOMOSCI: HOMEPAGE + ROS (DESKTOP)")</f>
        <v>WP WIADOMOŚCI: STRONA GŁÓWNA +ROS (DESKTOP)</v>
      </c>
      <c r="C66" s="859"/>
      <c r="D66" s="859"/>
      <c r="E66" s="859"/>
      <c r="F66" s="859" t="str">
        <f>IF('Język - Language'!$B$30="Polski","WP WIADOMOSCI: STRONA GŁÓWNA + ROS (MOBILE)¹","WP WIADOMOSCI: HOMEPAGE + ROS (MOBILE)¹")</f>
        <v>WP WIADOMOSCI: STRONA GŁÓWNA + ROS (MOBILE)¹</v>
      </c>
      <c r="G66" s="859"/>
      <c r="H66" s="859"/>
      <c r="I66" s="859" t="str">
        <f>IF('Język - Language'!$B$30="Polski","CZAS EMISJI","TIME")</f>
        <v>CZAS EMISJI</v>
      </c>
      <c r="J66" s="859" t="str">
        <f>IF('Język - Language'!$B$30="Polski","CENA RC","RC PRICE")</f>
        <v>CENA RC</v>
      </c>
      <c r="K66" s="860"/>
    </row>
    <row r="67" spans="1:13" ht="12.75" customHeight="1">
      <c r="B67" s="923"/>
      <c r="C67" s="923"/>
      <c r="D67" s="923"/>
      <c r="E67" s="923"/>
      <c r="F67" s="923"/>
      <c r="G67" s="923"/>
      <c r="H67" s="923"/>
      <c r="I67" s="923"/>
      <c r="J67" s="541" t="str">
        <f>IF('Język - Language'!$B$30="Polski","styczeń-wrzesień","Jan-Sep")</f>
        <v>styczeń-wrzesień</v>
      </c>
      <c r="K67" s="550" t="str">
        <f>IF('Język - Language'!$B$30="Polski","październik-grudzień","Oct-Dec")</f>
        <v>październik-grudzień</v>
      </c>
    </row>
    <row r="68" spans="1:13" ht="26.25" customHeight="1">
      <c r="B68" s="913" t="s">
        <v>55</v>
      </c>
      <c r="C68" s="914"/>
      <c r="D68" s="914"/>
      <c r="E68" s="915"/>
      <c r="F68" s="664" t="s">
        <v>56</v>
      </c>
      <c r="G68" s="665"/>
      <c r="H68" s="665"/>
      <c r="I68" s="458" t="s">
        <v>7</v>
      </c>
      <c r="J68" s="460">
        <v>210000</v>
      </c>
      <c r="K68" s="459">
        <v>255000</v>
      </c>
      <c r="L68" s="792"/>
      <c r="M68" s="790"/>
    </row>
    <row r="69" spans="1:13" ht="25.5" customHeight="1">
      <c r="A69" s="93"/>
      <c r="B69" s="881" t="str">
        <f>IF('Język - Language'!$B$30="Polski","Double Billboard lub Wideboard 3/uu²","Double Billboard or Wideboard 3/uu²")</f>
        <v>Double Billboard lub Wideboard 3/uu²</v>
      </c>
      <c r="C69" s="882"/>
      <c r="D69" s="882"/>
      <c r="E69" s="883"/>
      <c r="F69" s="897" t="str">
        <f>IF('Język - Language'!$B$30="Polski","Banner skalowalny 3/uu²","Adjusted Banner 3/uu²")</f>
        <v>Banner skalowalny 3/uu²</v>
      </c>
      <c r="G69" s="897"/>
      <c r="H69" s="897"/>
      <c r="I69" s="100" t="s">
        <v>10</v>
      </c>
      <c r="J69" s="366">
        <v>295000</v>
      </c>
      <c r="K69" s="163">
        <v>345000</v>
      </c>
    </row>
    <row r="70" spans="1:13" ht="25.5" customHeight="1">
      <c r="A70" s="93"/>
      <c r="B70" s="881" t="s">
        <v>480</v>
      </c>
      <c r="C70" s="882"/>
      <c r="D70" s="882"/>
      <c r="E70" s="883"/>
      <c r="F70" s="885" t="str">
        <f>IF('Język - Language'!$B$30="Polski","Rectangle/Banner skalowalny XL 1/uu + Banner skalowalny 2/uu²","Rectangle/Adjusted Banner XL 1/uu + Adjusted Banner 2/uu²")</f>
        <v>Rectangle/Banner skalowalny XL 1/uu + Banner skalowalny 2/uu²</v>
      </c>
      <c r="G70" s="886"/>
      <c r="H70" s="886"/>
      <c r="I70" s="139" t="s">
        <v>10</v>
      </c>
      <c r="J70" s="367">
        <v>340000</v>
      </c>
      <c r="K70" s="211">
        <v>395000</v>
      </c>
    </row>
    <row r="71" spans="1:13" ht="25.5" customHeight="1">
      <c r="A71" s="93"/>
      <c r="B71" s="918" t="s">
        <v>481</v>
      </c>
      <c r="C71" s="919"/>
      <c r="D71" s="919"/>
      <c r="E71" s="920"/>
      <c r="F71" s="934" t="str">
        <f>IF('Język - Language'!$B$30="Polski","Rectangle/Banner skalowalny XL 1/uu + Banner skalowalny 2/uu²","Rectangle/Adjusted Banner XL 1/uu + Adjusted Banner 2/uu²")</f>
        <v>Rectangle/Banner skalowalny XL 1/uu + Banner skalowalny 2/uu²</v>
      </c>
      <c r="G71" s="941"/>
      <c r="H71" s="935"/>
      <c r="I71" s="235" t="s">
        <v>10</v>
      </c>
      <c r="J71" s="431">
        <v>390000</v>
      </c>
      <c r="K71" s="213">
        <v>450000</v>
      </c>
    </row>
    <row r="72" spans="1:13" ht="12.75" customHeight="1">
      <c r="B72" s="96"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C72" s="380"/>
      <c r="D72" s="380"/>
      <c r="E72" s="380"/>
      <c r="F72" s="380"/>
      <c r="G72" s="380"/>
      <c r="H72" s="380"/>
      <c r="I72" s="380"/>
      <c r="J72" s="231"/>
      <c r="K72" s="683"/>
    </row>
    <row r="73" spans="1:13">
      <c r="B73" s="767" t="str">
        <f>IF('Język - Language'!$B$30="Polski","² format dostępny również w PMP (Private Marketplace), cena ustalana indywidualnie","² ad form is also available in PMP (Private Marketplace), the price is set individually")</f>
        <v>² format dostępny również w PMP (Private Marketplace), cena ustalana indywidualnie</v>
      </c>
    </row>
    <row r="74" spans="1:13">
      <c r="B74" s="96"/>
    </row>
    <row r="75" spans="1:13">
      <c r="B75" s="96"/>
    </row>
    <row r="76" spans="1:13">
      <c r="B76" s="96"/>
    </row>
    <row r="77" spans="1:13" ht="25.5" customHeight="1">
      <c r="B77" s="916" t="str">
        <f>IF('Język - Language'!$B$30="Polski","SPORTOWEFAKTY: STRONA GŁÓWNA + ROS (DESKTOP)","SPORTOWEFAKTY: HOMEPAGE + ROS (DESKTOP)")</f>
        <v>SPORTOWEFAKTY: STRONA GŁÓWNA + ROS (DESKTOP)</v>
      </c>
      <c r="C77" s="916"/>
      <c r="D77" s="916"/>
      <c r="E77" s="916"/>
      <c r="F77" s="916" t="str">
        <f>IF('Język - Language'!$B$30="Polski","SPORTOWEFAKTY: STRONA GŁÓWNA + ROS (MOBILE)¹","SPORTOWEFAKTY: HOMEPAGE + ROS (MOBILE)¹")</f>
        <v>SPORTOWEFAKTY: STRONA GŁÓWNA + ROS (MOBILE)¹</v>
      </c>
      <c r="G77" s="916"/>
      <c r="H77" s="916"/>
      <c r="I77" s="916" t="str">
        <f>IF('Język - Language'!$B$30="Polski","CZAS EMISJI","TIME")</f>
        <v>CZAS EMISJI</v>
      </c>
      <c r="J77" s="916" t="str">
        <f>IF('Język - Language'!$B$30="Polski","CENA RC","RC PRICE")</f>
        <v>CENA RC</v>
      </c>
      <c r="K77" s="917"/>
    </row>
    <row r="78" spans="1:13" ht="12.75" customHeight="1">
      <c r="B78" s="929"/>
      <c r="C78" s="929"/>
      <c r="D78" s="929"/>
      <c r="E78" s="929"/>
      <c r="F78" s="929"/>
      <c r="G78" s="929"/>
      <c r="H78" s="929"/>
      <c r="I78" s="929"/>
      <c r="J78" s="784" t="str">
        <f>IF('Język - Language'!$B$30="Polski","styczeń-wrzesień","Jan-Sep")</f>
        <v>styczeń-wrzesień</v>
      </c>
      <c r="K78" s="785" t="str">
        <f>IF('Język - Language'!$B$30="Polski","październik-grudzień","Oct-Dec")</f>
        <v>październik-grudzień</v>
      </c>
    </row>
    <row r="79" spans="1:13" ht="25.5" customHeight="1">
      <c r="B79" s="936" t="s">
        <v>55</v>
      </c>
      <c r="C79" s="936"/>
      <c r="D79" s="936"/>
      <c r="E79" s="936"/>
      <c r="F79" s="936" t="s">
        <v>56</v>
      </c>
      <c r="G79" s="936"/>
      <c r="H79" s="936"/>
      <c r="I79" s="783" t="s">
        <v>7</v>
      </c>
      <c r="J79" s="780">
        <v>200000</v>
      </c>
      <c r="K79" s="163">
        <v>245000</v>
      </c>
      <c r="L79" s="792"/>
      <c r="M79" s="790"/>
    </row>
    <row r="80" spans="1:13" ht="25.5" customHeight="1">
      <c r="A80" s="93"/>
      <c r="B80" s="913" t="str">
        <f>IF('Język - Language'!$B$30="Polski","Double Billboard lub Wideboard 3/uu²","Double Billboard or Wideboard 3/uu²")</f>
        <v>Double Billboard lub Wideboard 3/uu²</v>
      </c>
      <c r="C80" s="914"/>
      <c r="D80" s="914"/>
      <c r="E80" s="915"/>
      <c r="F80" s="897" t="str">
        <f>IF('Język - Language'!$B$30="Polski","Banner skalowalny 3/uu²","Adjusted Banner 3/uu²")</f>
        <v>Banner skalowalny 3/uu²</v>
      </c>
      <c r="G80" s="897"/>
      <c r="H80" s="898"/>
      <c r="I80" s="100" t="s">
        <v>10</v>
      </c>
      <c r="J80" s="366">
        <v>280000</v>
      </c>
      <c r="K80" s="211">
        <v>325000</v>
      </c>
    </row>
    <row r="81" spans="1:13" ht="25.5" customHeight="1">
      <c r="A81" s="93"/>
      <c r="B81" s="881" t="s">
        <v>480</v>
      </c>
      <c r="C81" s="882"/>
      <c r="D81" s="882"/>
      <c r="E81" s="883"/>
      <c r="F81" s="849" t="str">
        <f>IF('Język - Language'!$B$30="Polski","Rectangle/Banner skalowalny XL 1/uu + Banner skalowalny 2/uu²","Rectangle/Adjusted Banner XL 1/uu + Adjusted Banner 2/uu²")</f>
        <v>Rectangle/Banner skalowalny XL 1/uu + Banner skalowalny 2/uu²</v>
      </c>
      <c r="G81" s="887"/>
      <c r="H81" s="850"/>
      <c r="I81" s="139" t="s">
        <v>10</v>
      </c>
      <c r="J81" s="367">
        <v>320000</v>
      </c>
      <c r="K81" s="211">
        <v>365000</v>
      </c>
    </row>
    <row r="82" spans="1:13" ht="25.5" customHeight="1">
      <c r="A82" s="93"/>
      <c r="B82" s="906" t="s">
        <v>481</v>
      </c>
      <c r="C82" s="907"/>
      <c r="D82" s="907"/>
      <c r="E82" s="908"/>
      <c r="F82" s="846" t="str">
        <f>IF('Język - Language'!$B$30="Polski","Rectangle/Banner skalowalny XL 1/uu + Banner skalowalny 2/uu²","Rectangle/Adjusted Banner XL 1/uu + Adjusted Banner 2/uu²")</f>
        <v>Rectangle/Banner skalowalny XL 1/uu + Banner skalowalny 2/uu²</v>
      </c>
      <c r="G82" s="888"/>
      <c r="H82" s="889"/>
      <c r="I82" s="394" t="s">
        <v>10</v>
      </c>
      <c r="J82" s="400">
        <v>360000</v>
      </c>
      <c r="K82" s="425">
        <v>415000</v>
      </c>
    </row>
    <row r="83" spans="1:13" ht="25.5" customHeight="1">
      <c r="B83" s="916" t="str">
        <f>IF('Język - Language'!$B$30="Polski","SPORTOWEFAKTY: STRONA GŁÓWNA (DESKTOP)","SPORTOWEFAKTY: HOMEPAGE (DESKTOP)")</f>
        <v>SPORTOWEFAKTY: STRONA GŁÓWNA (DESKTOP)</v>
      </c>
      <c r="C83" s="916"/>
      <c r="D83" s="916"/>
      <c r="E83" s="916"/>
      <c r="F83" s="916" t="str">
        <f>IF('Język - Language'!$B$30="Polski","SPORTOWEFAKTY: STRONA GŁÓWNA (MOBILE)¹","SPORTOWEFAKTY: HOMEPAGE (MOBILE)¹")</f>
        <v>SPORTOWEFAKTY: STRONA GŁÓWNA (MOBILE)¹</v>
      </c>
      <c r="G83" s="916"/>
      <c r="H83" s="916"/>
      <c r="I83" s="916" t="str">
        <f>IF('Język - Language'!$B$30="Polski","CZAS EMISJI","TIME")</f>
        <v>CZAS EMISJI</v>
      </c>
      <c r="J83" s="916" t="str">
        <f>IF('Język - Language'!$B$30="Polski","CENA RC","RC PRICE")</f>
        <v>CENA RC</v>
      </c>
      <c r="K83" s="917"/>
    </row>
    <row r="84" spans="1:13" ht="12.75" customHeight="1">
      <c r="B84" s="929"/>
      <c r="C84" s="929"/>
      <c r="D84" s="929"/>
      <c r="E84" s="929"/>
      <c r="F84" s="929"/>
      <c r="G84" s="929"/>
      <c r="H84" s="929"/>
      <c r="I84" s="929"/>
      <c r="J84" s="784" t="str">
        <f>IF('Język - Language'!$B$30="Polski","styczeń-wrzesień","Jan-Sep")</f>
        <v>styczeń-wrzesień</v>
      </c>
      <c r="K84" s="785" t="str">
        <f>IF('Język - Language'!$B$30="Polski","październik-grudzień","Oct-Dec")</f>
        <v>październik-grudzień</v>
      </c>
    </row>
    <row r="85" spans="1:13" ht="25.5" customHeight="1">
      <c r="A85" s="93"/>
      <c r="B85" s="871" t="s">
        <v>500</v>
      </c>
      <c r="C85" s="872"/>
      <c r="D85" s="872"/>
      <c r="E85" s="873"/>
      <c r="F85" s="871" t="s">
        <v>501</v>
      </c>
      <c r="G85" s="872"/>
      <c r="H85" s="873"/>
      <c r="I85" s="100" t="str">
        <f>IF('Język - Language'!$B$30="Polski","Flat Fee / dzień","Flat Fee / 24 h")</f>
        <v>Flat Fee / dzień</v>
      </c>
      <c r="J85" s="366">
        <v>30000</v>
      </c>
      <c r="K85" s="163">
        <v>35000</v>
      </c>
    </row>
    <row r="86" spans="1:13" ht="25.5" customHeight="1">
      <c r="A86" s="93"/>
      <c r="B86" s="874"/>
      <c r="C86" s="875"/>
      <c r="D86" s="875"/>
      <c r="E86" s="876"/>
      <c r="F86" s="874"/>
      <c r="G86" s="875"/>
      <c r="H86" s="876"/>
      <c r="I86" s="627" t="str">
        <f>IF('Język - Language'!$B$30="Polski","Flat Fee / tydzień","Flat Fee / 1 week")</f>
        <v>Flat Fee / tydzień</v>
      </c>
      <c r="J86" s="399">
        <v>120000</v>
      </c>
      <c r="K86" s="163">
        <v>145000</v>
      </c>
    </row>
    <row r="87" spans="1:13" ht="12.75" customHeight="1">
      <c r="B87" s="96"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C87" s="380"/>
      <c r="D87" s="380"/>
      <c r="E87" s="380"/>
      <c r="F87" s="380"/>
      <c r="G87" s="380"/>
      <c r="H87" s="380"/>
      <c r="I87" s="231"/>
      <c r="J87" s="231"/>
      <c r="K87" s="682"/>
    </row>
    <row r="88" spans="1:13">
      <c r="B88" s="767" t="str">
        <f>IF('Język - Language'!$B$30="Polski","² format dostępny również w PMP (Private Marketplace), cena ustalana indywidualnie","² ad form is also available in PMP (Private Marketplace), the price is set individually")</f>
        <v>² format dostępny również w PMP (Private Marketplace), cena ustalana indywidualnie</v>
      </c>
    </row>
    <row r="89" spans="1:13">
      <c r="B89" s="767"/>
    </row>
    <row r="90" spans="1:13">
      <c r="B90" s="767"/>
    </row>
    <row r="91" spans="1:13">
      <c r="B91" s="767"/>
    </row>
    <row r="92" spans="1:13" ht="25.5" customHeight="1">
      <c r="B92" s="869" t="str">
        <f>IF('Język - Language'!$B$30="Polski","PYSZOSCI.PL (DESKTOP)","PYSZNOSCI.PL (DESKTOP)")</f>
        <v>PYSZOSCI.PL (DESKTOP)</v>
      </c>
      <c r="C92" s="869"/>
      <c r="D92" s="869"/>
      <c r="E92" s="869"/>
      <c r="F92" s="869" t="str">
        <f>IF('Język - Language'!$B$30="Polski","PYSZNOSCI.PL (MOBILE)¹","PYSZNOSCI.PL (MOBILE)¹")</f>
        <v>PYSZNOSCI.PL (MOBILE)¹</v>
      </c>
      <c r="G92" s="869"/>
      <c r="H92" s="869"/>
      <c r="I92" s="869" t="str">
        <f>IF('Język - Language'!$B$30="Polski","CZAS EMISJI","TIME")</f>
        <v>CZAS EMISJI</v>
      </c>
      <c r="J92" s="869" t="str">
        <f>IF('Język - Language'!$B$30="Polski","CENA RC","RC PRICE")</f>
        <v>CENA RC</v>
      </c>
      <c r="K92" s="870"/>
    </row>
    <row r="93" spans="1:13">
      <c r="B93" s="942"/>
      <c r="C93" s="942"/>
      <c r="D93" s="942"/>
      <c r="E93" s="942"/>
      <c r="F93" s="942"/>
      <c r="G93" s="942"/>
      <c r="H93" s="942"/>
      <c r="I93" s="942"/>
      <c r="J93" s="554" t="str">
        <f>IF('Język - Language'!$B$30="Polski","styczeń-wrzesień","Jan-Sep")</f>
        <v>styczeń-wrzesień</v>
      </c>
      <c r="K93" s="555" t="str">
        <f>IF('Język - Language'!$B$30="Polski","październik-grudzień","Oct-Dec")</f>
        <v>październik-grudzień</v>
      </c>
    </row>
    <row r="94" spans="1:13" ht="25.5" customHeight="1">
      <c r="B94" s="871" t="s">
        <v>55</v>
      </c>
      <c r="C94" s="872"/>
      <c r="D94" s="872"/>
      <c r="E94" s="873"/>
      <c r="F94" s="871" t="s">
        <v>56</v>
      </c>
      <c r="G94" s="872"/>
      <c r="H94" s="873"/>
      <c r="I94" s="100" t="str">
        <f>IF('Język - Language'!$B$30="Polski","Flat Fee / dzień","Flat Fee / 24 h")</f>
        <v>Flat Fee / dzień</v>
      </c>
      <c r="J94" s="366">
        <v>55000</v>
      </c>
      <c r="K94" s="163">
        <v>65000</v>
      </c>
      <c r="L94" s="792"/>
      <c r="M94" s="791"/>
    </row>
    <row r="95" spans="1:13" ht="25.5" customHeight="1">
      <c r="B95" s="874"/>
      <c r="C95" s="875"/>
      <c r="D95" s="875"/>
      <c r="E95" s="876"/>
      <c r="F95" s="874"/>
      <c r="G95" s="875"/>
      <c r="H95" s="876"/>
      <c r="I95" s="627" t="str">
        <f>IF('Język - Language'!$B$30="Polski","Flat Fee / tydzień","Flat Fee / 1 week")</f>
        <v>Flat Fee / tydzień</v>
      </c>
      <c r="J95" s="399">
        <v>320000</v>
      </c>
      <c r="K95" s="213">
        <v>370000</v>
      </c>
    </row>
    <row r="96" spans="1:13" ht="25.5" customHeight="1">
      <c r="B96" s="871" t="s">
        <v>543</v>
      </c>
      <c r="C96" s="872"/>
      <c r="D96" s="872"/>
      <c r="E96" s="873"/>
      <c r="F96" s="871" t="s">
        <v>544</v>
      </c>
      <c r="G96" s="872"/>
      <c r="H96" s="873"/>
      <c r="I96" s="100" t="str">
        <f>IF('Język - Language'!$B$30="Polski","3/uu / dzień","3/uu / 24 h")</f>
        <v>3/uu / dzień</v>
      </c>
      <c r="J96" s="366">
        <v>50000</v>
      </c>
      <c r="K96" s="163">
        <v>60000</v>
      </c>
    </row>
    <row r="97" spans="1:12" ht="25.5" customHeight="1">
      <c r="B97" s="874"/>
      <c r="C97" s="875"/>
      <c r="D97" s="875"/>
      <c r="E97" s="876"/>
      <c r="F97" s="874"/>
      <c r="G97" s="875"/>
      <c r="H97" s="876"/>
      <c r="I97" s="627" t="str">
        <f>IF('Język - Language'!$B$30="Polski","3/uu / tydzień","3/uu / 1 week")</f>
        <v>3/uu / tydzień</v>
      </c>
      <c r="J97" s="399">
        <v>300000</v>
      </c>
      <c r="K97" s="213">
        <v>350000</v>
      </c>
    </row>
    <row r="98" spans="1:12">
      <c r="B98" s="96"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C98" s="41"/>
      <c r="D98" s="41"/>
      <c r="E98" s="41"/>
      <c r="F98" s="41"/>
      <c r="G98" s="41"/>
      <c r="H98" s="41"/>
      <c r="I98" s="41"/>
      <c r="J98" s="41"/>
      <c r="K98" s="41"/>
      <c r="L98" s="41"/>
    </row>
    <row r="99" spans="1:12">
      <c r="C99" s="41"/>
      <c r="D99" s="41"/>
      <c r="E99" s="41"/>
      <c r="F99" s="41"/>
      <c r="G99" s="41"/>
      <c r="H99" s="41"/>
      <c r="I99" s="41"/>
      <c r="J99" s="41"/>
      <c r="K99" s="41"/>
      <c r="L99" s="41"/>
    </row>
    <row r="100" spans="1:12" ht="12.75" customHeight="1">
      <c r="B100" s="231"/>
      <c r="C100" s="231"/>
      <c r="D100" s="231"/>
      <c r="E100" s="231"/>
      <c r="F100" s="231"/>
      <c r="G100" s="231"/>
      <c r="H100" s="231"/>
      <c r="I100" s="231"/>
      <c r="J100" s="231"/>
      <c r="K100" s="234"/>
    </row>
    <row r="101" spans="1:12" ht="12.75" customHeight="1">
      <c r="B101" s="231"/>
      <c r="C101" s="231"/>
      <c r="D101" s="231"/>
      <c r="E101" s="231"/>
      <c r="F101" s="231"/>
      <c r="G101" s="231"/>
      <c r="H101" s="231"/>
      <c r="I101" s="231"/>
      <c r="J101" s="231"/>
      <c r="K101" s="234"/>
    </row>
    <row r="102" spans="1:12" ht="25.5" customHeight="1">
      <c r="B102" s="894" t="s">
        <v>64</v>
      </c>
      <c r="C102" s="894"/>
      <c r="D102" s="894"/>
      <c r="E102" s="894"/>
      <c r="F102" s="894" t="s">
        <v>65</v>
      </c>
      <c r="G102" s="894"/>
      <c r="H102" s="894"/>
      <c r="I102" s="894" t="str">
        <f>IF('Język - Language'!$B$30="Polski","CZAS EMISJI","TIME")</f>
        <v>CZAS EMISJI</v>
      </c>
      <c r="J102" s="893" t="str">
        <f>IF('Język - Language'!$B$30="Polski","CENA RC","RC PRICE")</f>
        <v>CENA RC</v>
      </c>
      <c r="K102" s="893"/>
    </row>
    <row r="103" spans="1:12" ht="12.75" customHeight="1">
      <c r="B103" s="895"/>
      <c r="C103" s="895"/>
      <c r="D103" s="895"/>
      <c r="E103" s="895"/>
      <c r="F103" s="895"/>
      <c r="G103" s="895"/>
      <c r="H103" s="895"/>
      <c r="I103" s="895"/>
      <c r="J103" s="781" t="str">
        <f>IF('Język - Language'!$B$30="Polski","styczeń-wrzesień","Jan-Sep")</f>
        <v>styczeń-wrzesień</v>
      </c>
      <c r="K103" s="782" t="str">
        <f>IF('Język - Language'!$B$30="Polski","październik-grudzień","Oct-Dec")</f>
        <v>październik-grudzień</v>
      </c>
    </row>
    <row r="104" spans="1:12" ht="25.5" customHeight="1">
      <c r="A104" s="93"/>
      <c r="B104" s="890" t="s">
        <v>487</v>
      </c>
      <c r="C104" s="891"/>
      <c r="D104" s="891"/>
      <c r="E104" s="892"/>
      <c r="F104" s="890" t="str">
        <f>IF('Język - Language'!$B$30="Polski","Banner skalowalny 3/uu / dzień¹","Adjusted Banner 3/uu / 24h¹")</f>
        <v>Banner skalowalny 3/uu / dzień¹</v>
      </c>
      <c r="G104" s="891"/>
      <c r="H104" s="892"/>
      <c r="I104" s="153" t="s">
        <v>66</v>
      </c>
      <c r="J104" s="366">
        <v>50000</v>
      </c>
      <c r="K104" s="163">
        <v>65000</v>
      </c>
    </row>
    <row r="105" spans="1:12" ht="25.5" customHeight="1">
      <c r="A105" s="93"/>
      <c r="B105" s="874" t="s">
        <v>67</v>
      </c>
      <c r="C105" s="875"/>
      <c r="D105" s="875"/>
      <c r="E105" s="876"/>
      <c r="F105" s="874" t="str">
        <f>IF('Język - Language'!$B$30="Polski","Banner skalowalny 3/uu / dzień","Adjusted Banner 3/uu / 24h")</f>
        <v>Banner skalowalny 3/uu / dzień</v>
      </c>
      <c r="G105" s="875"/>
      <c r="H105" s="876"/>
      <c r="I105" s="235" t="s">
        <v>66</v>
      </c>
      <c r="J105" s="431">
        <v>70000</v>
      </c>
      <c r="K105" s="374">
        <v>80000</v>
      </c>
    </row>
    <row r="106" spans="1:12">
      <c r="B106" s="767" t="str">
        <f>IF('Język - Language'!$B$30="Polski","¹ format dostępny również w PMP (Private Marketplace), cena ustalana indywidualnie","¹ ad form is also available in PMP (Private Marketplace), the price is set individually")</f>
        <v>¹ format dostępny również w PMP (Private Marketplace), cena ustalana indywidualnie</v>
      </c>
    </row>
    <row r="107" spans="1:12" ht="13.5" customHeight="1">
      <c r="B107" s="380"/>
      <c r="C107" s="380"/>
      <c r="D107" s="380"/>
      <c r="E107" s="380"/>
      <c r="F107" s="380"/>
      <c r="G107" s="380"/>
      <c r="H107" s="380"/>
      <c r="I107" s="231"/>
      <c r="J107" s="234"/>
    </row>
    <row r="108" spans="1:12" ht="13.5" customHeight="1">
      <c r="B108" s="380"/>
      <c r="C108" s="380"/>
      <c r="D108" s="380"/>
      <c r="E108" s="380"/>
      <c r="F108" s="380"/>
      <c r="G108" s="380"/>
      <c r="H108" s="380"/>
      <c r="I108" s="231"/>
      <c r="J108" s="234"/>
    </row>
    <row r="109" spans="1:12" ht="25.5" customHeight="1">
      <c r="B109" s="859" t="str">
        <f>IF('Język - Language'!$B$30="Polski","SERWISY W DOMENIE WP.PL¹ (DESKTOP)","WP.PL DOMAIN SITES¹ (DESKTOP)")</f>
        <v>SERWISY W DOMENIE WP.PL¹ (DESKTOP)</v>
      </c>
      <c r="C109" s="859"/>
      <c r="D109" s="859"/>
      <c r="E109" s="859"/>
      <c r="F109" s="859" t="str">
        <f>IF('Język - Language'!$B$30="Polski","SERWISY W DOMENIE WP.PL¹ (MOBILE)","WP.PL DOMAIN SITES¹ (MOBILE)")</f>
        <v>SERWISY W DOMENIE WP.PL¹ (MOBILE)</v>
      </c>
      <c r="G109" s="859"/>
      <c r="H109" s="859"/>
      <c r="I109" s="859" t="str">
        <f>IF('Język - Language'!$B$30="Polski","CZAS EMISJI","TIME")</f>
        <v>CZAS EMISJI</v>
      </c>
      <c r="J109" s="859" t="str">
        <f>IF('Język - Language'!$B$30="Polski","CENA RC","RC PRICE")</f>
        <v>CENA RC</v>
      </c>
      <c r="K109" s="860"/>
    </row>
    <row r="110" spans="1:12" ht="12.75" customHeight="1">
      <c r="B110" s="923"/>
      <c r="C110" s="923"/>
      <c r="D110" s="923"/>
      <c r="E110" s="923"/>
      <c r="F110" s="923"/>
      <c r="G110" s="923"/>
      <c r="H110" s="923"/>
      <c r="I110" s="923"/>
      <c r="J110" s="541" t="str">
        <f>IF('Język - Language'!$B$30="Polski","styczeń-wrzesień","Jan-Sep")</f>
        <v>styczeń-wrzesień</v>
      </c>
      <c r="K110" s="550" t="str">
        <f>IF('Język - Language'!$B$30="Polski","październik-grudzień","Oct-Dec")</f>
        <v>październik-grudzień</v>
      </c>
    </row>
    <row r="111" spans="1:12" ht="25.5" customHeight="1">
      <c r="A111" s="93"/>
      <c r="B111" s="913" t="str">
        <f>IF('Język - Language'!$B$30="Polski","Double Billboard lub Wideboard 3/uu²","Double Billboard or Wideboard 3/uu²")</f>
        <v>Double Billboard lub Wideboard 3/uu²</v>
      </c>
      <c r="C111" s="914"/>
      <c r="D111" s="914"/>
      <c r="E111" s="915"/>
      <c r="F111" s="897" t="str">
        <f>IF('Język - Language'!$B$30="Polski","Banner skalowalny 3/uu²","Adjusted Banner 3/uu²")</f>
        <v>Banner skalowalny 3/uu²</v>
      </c>
      <c r="G111" s="897"/>
      <c r="H111" s="898"/>
      <c r="I111" s="100" t="str">
        <f>IF('Język - Language'!$B$30="Polski","3/uu / dzień","3/uu / 24 h")</f>
        <v>3/uu / dzień</v>
      </c>
      <c r="J111" s="780">
        <v>420000</v>
      </c>
      <c r="K111" s="420">
        <v>490000</v>
      </c>
    </row>
    <row r="112" spans="1:12" ht="25.5" customHeight="1">
      <c r="A112" s="93"/>
      <c r="B112" s="881" t="s">
        <v>480</v>
      </c>
      <c r="C112" s="882"/>
      <c r="D112" s="882"/>
      <c r="E112" s="883"/>
      <c r="F112" s="849" t="str">
        <f>IF('Język - Language'!$B$30="Polski","Rectangle/Banner skalowalny XL 1/uu + Banner skalowalny 2/uu²","Rectangle/Adjusted Banner XL 1/uu + Adjusted Banner 2/uu²")</f>
        <v>Rectangle/Banner skalowalny XL 1/uu + Banner skalowalny 2/uu²</v>
      </c>
      <c r="G112" s="887"/>
      <c r="H112" s="850"/>
      <c r="I112" s="139" t="str">
        <f>IF('Język - Language'!$B$30="Polski","3/uu / dzień","3/uu / 24 h")</f>
        <v>3/uu / dzień</v>
      </c>
      <c r="J112" s="482">
        <v>480000</v>
      </c>
      <c r="K112" s="419">
        <v>555000</v>
      </c>
    </row>
    <row r="113" spans="1:15" ht="25.5" customHeight="1">
      <c r="A113" s="93"/>
      <c r="B113" s="918" t="s">
        <v>481</v>
      </c>
      <c r="C113" s="919"/>
      <c r="D113" s="919"/>
      <c r="E113" s="920"/>
      <c r="F113" s="934" t="str">
        <f>IF('Język - Language'!$B$30="Polski","Rectangle/Banner skalowalny XL 1/uu + Banner skalowalny 2/uu²","Rectangle/Adjusted Banner XL 1/uu + Adjusted Banner 2/uu²")</f>
        <v>Rectangle/Banner skalowalny XL 1/uu + Banner skalowalny 2/uu²</v>
      </c>
      <c r="G113" s="941"/>
      <c r="H113" s="935"/>
      <c r="I113" s="235" t="str">
        <f>IF('Język - Language'!$B$30="Polski","3/uu / dzień","3/uu / 24 h")</f>
        <v>3/uu / dzień</v>
      </c>
      <c r="J113" s="483">
        <v>550000</v>
      </c>
      <c r="K113" s="469">
        <v>630000</v>
      </c>
    </row>
    <row r="114" spans="1:15" ht="13.5" customHeight="1">
      <c r="B114" s="679" t="s">
        <v>68</v>
      </c>
      <c r="C114" s="680"/>
      <c r="D114" s="680"/>
      <c r="E114" s="680"/>
      <c r="F114" s="173"/>
      <c r="G114" s="173"/>
      <c r="H114" s="173"/>
      <c r="I114" s="231"/>
      <c r="J114" s="234"/>
      <c r="K114" s="681"/>
    </row>
    <row r="115" spans="1:15">
      <c r="B115" s="767" t="str">
        <f>IF('Język - Language'!$B$30="Polski","² format dostępny również w PMP (Private Marketplace), cena ustalana indywidualnie","² ad form is also available in PMP (Private Marketplace), the price is set individually")</f>
        <v>² format dostępny również w PMP (Private Marketplace), cena ustalana indywidualnie</v>
      </c>
    </row>
    <row r="116" spans="1:15">
      <c r="B116" s="767"/>
    </row>
    <row r="117" spans="1:15">
      <c r="G117" s="462"/>
      <c r="H117" s="462"/>
      <c r="I117" s="462"/>
      <c r="J117" s="462"/>
    </row>
    <row r="118" spans="1:15" ht="25.5" customHeight="1">
      <c r="B118" s="90"/>
      <c r="C118" s="836" t="str">
        <f>IF('Język - Language'!$B$30="Polski","DNIÓWKI TEMATYCZNE","DAILY THEMATIC EMISSION")</f>
        <v>DNIÓWKI TEMATYCZNE</v>
      </c>
      <c r="D118" s="836" t="str">
        <f>IF('Język - Language'!$B$30="Polski","MIEJSCE EMISJI","PLACE OF EMISSION")</f>
        <v>MIEJSCE EMISJI</v>
      </c>
      <c r="E118" s="838" t="str">
        <f>IF('Język - Language'!$B$30="Polski","MODEL EMISJI","MODEL OF EMISSION")</f>
        <v>MODEL EMISJI</v>
      </c>
      <c r="F118" s="836" t="str">
        <f>IF('Język - Language'!$B$30="Polski","DOUBLE BILLBOARD LUB HALFPAGE 3/uu (DESKTOP/TABLET)³","DOUBLE BILLBOARD OR HALFPAGE 3/uu (DESKTOP/TABLET)³")</f>
        <v>DOUBLE BILLBOARD LUB HALFPAGE 3/uu (DESKTOP/TABLET)³</v>
      </c>
      <c r="G118" s="838"/>
      <c r="H118" s="836" t="str">
        <f>IF('Język - Language'!$B$30="Polski","SCREENING 200 1/uu + DOUBLE BILLBOARD 2/uu (DESKTOP/TABLET)¹ ³","SCREENING 200 1/uu + DOUBLE BILLBOARD 2/uu (DESKTOP/TABLET)¹ ³")</f>
        <v>SCREENING 200 1/uu + DOUBLE BILLBOARD 2/uu (DESKTOP/TABLET)¹ ³</v>
      </c>
      <c r="I118" s="838"/>
      <c r="J118" s="836" t="str">
        <f>IF('Język - Language'!$B$30="Polski","GIGABOARD 1/uu + DBB/WIDEBOARD 2/uu (DESKTOP/TABLET)¹ ³","GIGABOARD 1/uu + DBB/WIDEBOARD 2/uu (DESKTOP/TABLET)¹ ³")</f>
        <v>GIGABOARD 1/uu + DBB/WIDEBOARD 2/uu (DESKTOP/TABLET)¹ ³</v>
      </c>
      <c r="K118" s="838"/>
      <c r="L118" s="5"/>
      <c r="M118" s="24"/>
    </row>
    <row r="119" spans="1:15" ht="25.5" customHeight="1">
      <c r="B119" s="91"/>
      <c r="C119" s="836"/>
      <c r="D119" s="836"/>
      <c r="E119" s="838"/>
      <c r="F119" s="938" t="str">
        <f>IF('Język - Language'!$B$30="Polski","BANNER SKALOWALNY 3/uu (MOBILE)³","ADJUSTED BANNER 3/uu (MOBILE)³")</f>
        <v>BANNER SKALOWALNY 3/uu (MOBILE)³</v>
      </c>
      <c r="G119" s="939"/>
      <c r="H119" s="938" t="str">
        <f>IF('Język - Language'!$B$30="Polski","RECTANGLE/BANNER SKALOWALNY XL 1/uu + BANNER SKALOWALNY 2/uu (MOBILE)² ³","RECTANGLE/ADJUSTED BANNER XL 1/uu + ADJUSTED BANNER 2/uu (MOBILE)² ³")</f>
        <v>RECTANGLE/BANNER SKALOWALNY XL 1/uu + BANNER SKALOWALNY 2/uu (MOBILE)² ³</v>
      </c>
      <c r="I119" s="939"/>
      <c r="J119" s="938" t="str">
        <f>IF('Język - Language'!$B$30="Polski","RECTANGLE/BANNER SKALOWALNY XL 1/uu + BANNER SKALOWALNY 2/uu (MOBILE)² ³","RECTANGLE/ADJUSTED BANNER XL 1/uu + ADJUSTED BANNER 2/uu (MOBILE)² ³")</f>
        <v>RECTANGLE/BANNER SKALOWALNY XL 1/uu + BANNER SKALOWALNY 2/uu (MOBILE)² ³</v>
      </c>
      <c r="K119" s="939"/>
      <c r="L119" s="5"/>
      <c r="M119" s="24"/>
    </row>
    <row r="120" spans="1:15" ht="25.5" customHeight="1">
      <c r="B120" s="446"/>
      <c r="C120" s="836"/>
      <c r="D120" s="836"/>
      <c r="E120" s="838"/>
      <c r="F120" s="877" t="s">
        <v>69</v>
      </c>
      <c r="G120" s="878"/>
      <c r="H120" s="877" t="s">
        <v>69</v>
      </c>
      <c r="I120" s="878"/>
      <c r="J120" s="877" t="s">
        <v>69</v>
      </c>
      <c r="K120" s="878"/>
      <c r="L120" s="5"/>
      <c r="M120" s="24"/>
    </row>
    <row r="121" spans="1:15" ht="12.75" customHeight="1">
      <c r="B121" s="91"/>
      <c r="C121" s="837"/>
      <c r="D121" s="837"/>
      <c r="E121" s="937"/>
      <c r="F121" s="552" t="str">
        <f>IF('Język - Language'!$B$30="Polski","styczeń-wrzesień","Jan-Sep")</f>
        <v>styczeń-wrzesień</v>
      </c>
      <c r="G121" s="558" t="str">
        <f>IF('Język - Language'!$B$30="Polski","październik-grudzień","Oct-Dec")</f>
        <v>październik-grudzień</v>
      </c>
      <c r="H121" s="552" t="str">
        <f>IF('Język - Language'!$B$30="Polski","styczeń-wrzesień","Jan-Sep")</f>
        <v>styczeń-wrzesień</v>
      </c>
      <c r="I121" s="558" t="str">
        <f>IF('Język - Language'!$B$30="Polski","październik-grudzień","Oct-Dec")</f>
        <v>październik-grudzień</v>
      </c>
      <c r="J121" s="552" t="str">
        <f>IF('Język - Language'!$B$30="Polski","styczeń-wrzesień","Jan-Sep")</f>
        <v>styczeń-wrzesień</v>
      </c>
      <c r="K121" s="558" t="str">
        <f>IF('Język - Language'!$B$30="Polski","październik-grudzień","Oct-Dec")</f>
        <v>październik-grudzień</v>
      </c>
      <c r="L121" s="5"/>
      <c r="M121" s="24"/>
    </row>
    <row r="122" spans="1:15" ht="25.5" customHeight="1">
      <c r="B122" s="819" t="str">
        <f>IF('Język - Language'!$B$30="Polski","Biznes","Business")</f>
        <v>Biznes</v>
      </c>
      <c r="C122" s="851"/>
      <c r="D122" s="740" t="s">
        <v>70</v>
      </c>
      <c r="E122" s="436" t="str">
        <f>IF('Język - Language'!$B$30="Polski","łączny cap3xuu / dzień","cap3xuu (total 3 page views / day)")</f>
        <v>łączny cap3xuu / dzień</v>
      </c>
      <c r="F122" s="463">
        <v>220000</v>
      </c>
      <c r="G122" s="466">
        <v>265000</v>
      </c>
      <c r="H122" s="463">
        <v>255000</v>
      </c>
      <c r="I122" s="466">
        <v>305000</v>
      </c>
      <c r="J122" s="463">
        <v>280500</v>
      </c>
      <c r="K122" s="466">
        <v>335500</v>
      </c>
      <c r="L122" s="5"/>
      <c r="M122" s="24"/>
    </row>
    <row r="123" spans="1:15" ht="25.5" customHeight="1">
      <c r="B123" s="849" t="str">
        <f>IF('Język - Language'!$B$30="Polski","Wiadomości","News")</f>
        <v>Wiadomości</v>
      </c>
      <c r="C123" s="850"/>
      <c r="D123" s="586" t="s">
        <v>71</v>
      </c>
      <c r="E123" s="447" t="str">
        <f>IF('Język - Language'!$B$30="Polski","łączny cap3xuu / dzień","cap3xuu (total 3 page views / day)")</f>
        <v>łączny cap3xuu / dzień</v>
      </c>
      <c r="F123" s="464">
        <v>235000</v>
      </c>
      <c r="G123" s="467">
        <v>275000</v>
      </c>
      <c r="H123" s="464">
        <v>265000</v>
      </c>
      <c r="I123" s="467">
        <v>315000</v>
      </c>
      <c r="J123" s="463">
        <v>291500</v>
      </c>
      <c r="K123" s="466">
        <v>346500</v>
      </c>
      <c r="L123" s="5"/>
      <c r="M123" s="24"/>
    </row>
    <row r="124" spans="1:15" ht="25.5" customHeight="1">
      <c r="B124" s="849" t="str">
        <f>IF('Język - Language'!$B$30="Polski","Motoryzacja","Moto")</f>
        <v>Motoryzacja</v>
      </c>
      <c r="C124" s="850"/>
      <c r="D124" s="586" t="s">
        <v>72</v>
      </c>
      <c r="E124" s="447" t="str">
        <f>IF('Język - Language'!$B$30="Polski","łączny cap3xuu / dzień","cap3xuu (total 3 page views / day)")</f>
        <v>łączny cap3xuu / dzień</v>
      </c>
      <c r="F124" s="464">
        <v>70000</v>
      </c>
      <c r="G124" s="467">
        <v>80000</v>
      </c>
      <c r="H124" s="464">
        <v>80000</v>
      </c>
      <c r="I124" s="467">
        <v>95000</v>
      </c>
      <c r="J124" s="463">
        <v>88000</v>
      </c>
      <c r="K124" s="466">
        <v>104500.00000000001</v>
      </c>
      <c r="L124" s="5"/>
      <c r="M124" s="24"/>
    </row>
    <row r="125" spans="1:15" ht="37.5" customHeight="1">
      <c r="B125" s="849" t="s">
        <v>73</v>
      </c>
      <c r="C125" s="850"/>
      <c r="D125" s="585" t="s">
        <v>540</v>
      </c>
      <c r="E125" s="448" t="str">
        <f>IF('Język - Language'!$B$30="Polski","łączny cap3xuu / dzień","cap3xuu (total 3 page views / day)")</f>
        <v>łączny cap3xuu / dzień</v>
      </c>
      <c r="F125" s="464">
        <v>80000</v>
      </c>
      <c r="G125" s="467">
        <v>95000</v>
      </c>
      <c r="H125" s="464">
        <v>90000</v>
      </c>
      <c r="I125" s="467">
        <v>105000</v>
      </c>
      <c r="J125" s="463">
        <v>99000.000000000015</v>
      </c>
      <c r="K125" s="466">
        <v>115500.00000000001</v>
      </c>
      <c r="L125" s="5"/>
      <c r="M125" s="24"/>
    </row>
    <row r="126" spans="1:15" ht="25.5" customHeight="1">
      <c r="B126" s="849" t="str">
        <f>IF('Język - Language'!$B$30="Polski","Kobieta","Woman")</f>
        <v>Kobieta</v>
      </c>
      <c r="C126" s="850"/>
      <c r="D126" s="585" t="s">
        <v>74</v>
      </c>
      <c r="E126" s="448" t="str">
        <f>IF('Język - Language'!$B$30="Polski","łączny cap3xuu / dzień","cap3xuu (total 3 page views / day)")</f>
        <v>łączny cap3xuu / dzień</v>
      </c>
      <c r="F126" s="464">
        <v>85000</v>
      </c>
      <c r="G126" s="467">
        <v>100000</v>
      </c>
      <c r="H126" s="464">
        <v>95000</v>
      </c>
      <c r="I126" s="467">
        <v>110000</v>
      </c>
      <c r="J126" s="463">
        <v>104500.00000000001</v>
      </c>
      <c r="K126" s="466">
        <v>121000.00000000001</v>
      </c>
      <c r="L126" s="5"/>
      <c r="M126" s="24"/>
      <c r="N126" s="25"/>
      <c r="O126" s="4"/>
    </row>
    <row r="127" spans="1:15" ht="25.5" customHeight="1">
      <c r="B127" s="849" t="str">
        <f>IF('Język - Language'!$B$30="Polski","Zdrowie ","Health")</f>
        <v xml:space="preserve">Zdrowie </v>
      </c>
      <c r="C127" s="850"/>
      <c r="D127" s="585" t="s">
        <v>75</v>
      </c>
      <c r="E127" s="448" t="str">
        <f>IF('Język - Language'!$B$30="Polski","łączny cap3xuu / dzień","cap3xuu (total 3 page views / day)")</f>
        <v>łączny cap3xuu / dzień</v>
      </c>
      <c r="F127" s="464">
        <v>185000</v>
      </c>
      <c r="G127" s="467">
        <v>220000</v>
      </c>
      <c r="H127" s="464">
        <v>215000</v>
      </c>
      <c r="I127" s="467">
        <v>260000</v>
      </c>
      <c r="J127" s="463">
        <v>236500.00000000003</v>
      </c>
      <c r="K127" s="466">
        <v>286000</v>
      </c>
      <c r="L127" s="5"/>
      <c r="M127" s="24"/>
      <c r="N127" s="25"/>
      <c r="O127" s="4"/>
    </row>
    <row r="128" spans="1:15" ht="25.5" customHeight="1">
      <c r="B128" s="849" t="s">
        <v>76</v>
      </c>
      <c r="C128" s="850"/>
      <c r="D128" s="585" t="s">
        <v>77</v>
      </c>
      <c r="E128" s="448" t="str">
        <f>IF('Język - Language'!$B$30="Polski","łączny cap3xuu / dzień","cap3xuu (total 3 page views / day)")</f>
        <v>łączny cap3xuu / dzień</v>
      </c>
      <c r="F128" s="464">
        <v>175000</v>
      </c>
      <c r="G128" s="467">
        <v>205000</v>
      </c>
      <c r="H128" s="464">
        <v>200000</v>
      </c>
      <c r="I128" s="467">
        <v>240000</v>
      </c>
      <c r="J128" s="463">
        <v>220000.00000000003</v>
      </c>
      <c r="K128" s="466">
        <v>264000</v>
      </c>
      <c r="L128" s="5"/>
      <c r="M128" s="24"/>
    </row>
    <row r="129" spans="2:12" ht="25.5" customHeight="1">
      <c r="B129" s="934" t="str">
        <f>IF('Język - Language'!$B$30="Polski","Turystyka","Travel")</f>
        <v>Turystyka</v>
      </c>
      <c r="C129" s="935"/>
      <c r="D129" s="617" t="s">
        <v>78</v>
      </c>
      <c r="E129" s="449" t="str">
        <f>IF('Język - Language'!$B$30="Polski","łączny cap3xuu / dzień","cap3xuu (total 3 page views / day)")</f>
        <v>łączny cap3xuu / dzień</v>
      </c>
      <c r="F129" s="465">
        <v>30000</v>
      </c>
      <c r="G129" s="468">
        <v>35000</v>
      </c>
      <c r="H129" s="465">
        <v>40000</v>
      </c>
      <c r="I129" s="468">
        <v>50000</v>
      </c>
      <c r="J129" s="465">
        <v>44000</v>
      </c>
      <c r="K129" s="468">
        <v>55000.000000000007</v>
      </c>
      <c r="L129" s="741"/>
    </row>
    <row r="130" spans="2:12">
      <c r="B130" s="142" t="str">
        <f>IF('Język - Language'!$B$30="Polski","¹ wymiary tapety w zależności do serwisu mogą się różnić","¹ Wallpaper dimensions may vary depending on the site")</f>
        <v>¹ wymiary tapety w zależności do serwisu mogą się różnić</v>
      </c>
      <c r="C130" s="142"/>
      <c r="D130" s="142"/>
      <c r="E130" s="142"/>
      <c r="F130" s="142"/>
      <c r="G130" s="142"/>
      <c r="H130" s="142"/>
      <c r="I130" s="142"/>
      <c r="J130" s="742"/>
    </row>
    <row r="131" spans="2:12">
      <c r="B131" s="142" t="str">
        <f>IF('Język - Language'!$B$30="Polski","² format dostępny na wybranych serwisach mobile: Pudelek, WP Money, WP Sportowefakty, o2, Serwisy Premium WPM, abcZdrowie i Parenting (tylko strony artykułowe)","² available on the selected mobile services")</f>
        <v>² format dostępny na wybranych serwisach mobile: Pudelek, WP Money, WP Sportowefakty, o2, Serwisy Premium WPM, abcZdrowie i Parenting (tylko strony artykułowe)</v>
      </c>
      <c r="J131" s="684"/>
    </row>
    <row r="132" spans="2:12">
      <c r="B132" s="767" t="str">
        <f>IF('Język - Language'!$B$30="Polski","³ format dostępny również w PMP (Private Marketplace), cena ustalana indywidualnie","³ ad form is also available in PMP (Private Marketplace), the price is set individually")</f>
        <v>³ format dostępny również w PMP (Private Marketplace), cena ustalana indywidualnie</v>
      </c>
    </row>
  </sheetData>
  <mergeCells count="155">
    <mergeCell ref="I29:I30"/>
    <mergeCell ref="J29:K29"/>
    <mergeCell ref="C20:E20"/>
    <mergeCell ref="C14:E15"/>
    <mergeCell ref="C11:E11"/>
    <mergeCell ref="C16:E16"/>
    <mergeCell ref="F17:H17"/>
    <mergeCell ref="F42:H42"/>
    <mergeCell ref="B51:E51"/>
    <mergeCell ref="B29:E30"/>
    <mergeCell ref="F29:H30"/>
    <mergeCell ref="I1:K3"/>
    <mergeCell ref="F1:H3"/>
    <mergeCell ref="J118:K118"/>
    <mergeCell ref="J119:K119"/>
    <mergeCell ref="B31:E31"/>
    <mergeCell ref="F31:H31"/>
    <mergeCell ref="F58:H58"/>
    <mergeCell ref="F51:H51"/>
    <mergeCell ref="F18:H18"/>
    <mergeCell ref="F19:H19"/>
    <mergeCell ref="F38:H38"/>
    <mergeCell ref="F14:H15"/>
    <mergeCell ref="F20:H20"/>
    <mergeCell ref="F16:H16"/>
    <mergeCell ref="F54:H55"/>
    <mergeCell ref="C118:C121"/>
    <mergeCell ref="F59:H59"/>
    <mergeCell ref="F56:H56"/>
    <mergeCell ref="F71:H71"/>
    <mergeCell ref="J120:K120"/>
    <mergeCell ref="F12:H12"/>
    <mergeCell ref="I36:I37"/>
    <mergeCell ref="C17:E17"/>
    <mergeCell ref="C18:E18"/>
    <mergeCell ref="F119:G119"/>
    <mergeCell ref="F118:G118"/>
    <mergeCell ref="H120:I120"/>
    <mergeCell ref="H118:I118"/>
    <mergeCell ref="H119:I119"/>
    <mergeCell ref="B56:E56"/>
    <mergeCell ref="F60:H60"/>
    <mergeCell ref="D118:D121"/>
    <mergeCell ref="B92:E93"/>
    <mergeCell ref="F92:H93"/>
    <mergeCell ref="I92:I93"/>
    <mergeCell ref="I109:I110"/>
    <mergeCell ref="F105:H105"/>
    <mergeCell ref="F80:H80"/>
    <mergeCell ref="F79:H79"/>
    <mergeCell ref="B111:E111"/>
    <mergeCell ref="F111:H111"/>
    <mergeCell ref="B112:E112"/>
    <mergeCell ref="F112:H112"/>
    <mergeCell ref="F113:H113"/>
    <mergeCell ref="F109:H110"/>
    <mergeCell ref="B59:E59"/>
    <mergeCell ref="I56:I60"/>
    <mergeCell ref="F57:H57"/>
    <mergeCell ref="F7:H8"/>
    <mergeCell ref="F9:H9"/>
    <mergeCell ref="B129:C129"/>
    <mergeCell ref="B127:C127"/>
    <mergeCell ref="B128:C128"/>
    <mergeCell ref="B105:E105"/>
    <mergeCell ref="B57:E57"/>
    <mergeCell ref="B126:C126"/>
    <mergeCell ref="B124:C124"/>
    <mergeCell ref="B58:E58"/>
    <mergeCell ref="B68:E68"/>
    <mergeCell ref="B66:E67"/>
    <mergeCell ref="B125:C125"/>
    <mergeCell ref="B70:E70"/>
    <mergeCell ref="B123:C123"/>
    <mergeCell ref="B122:C122"/>
    <mergeCell ref="B80:E80"/>
    <mergeCell ref="B79:E79"/>
    <mergeCell ref="B113:E113"/>
    <mergeCell ref="B85:E86"/>
    <mergeCell ref="B81:E81"/>
    <mergeCell ref="B82:E82"/>
    <mergeCell ref="B109:E110"/>
    <mergeCell ref="E118:E121"/>
    <mergeCell ref="J77:K77"/>
    <mergeCell ref="J83:K83"/>
    <mergeCell ref="B69:E69"/>
    <mergeCell ref="F69:H69"/>
    <mergeCell ref="B71:E71"/>
    <mergeCell ref="I48:I49"/>
    <mergeCell ref="I66:I67"/>
    <mergeCell ref="I54:I55"/>
    <mergeCell ref="B50:E50"/>
    <mergeCell ref="F50:H50"/>
    <mergeCell ref="F53:H53"/>
    <mergeCell ref="I77:I78"/>
    <mergeCell ref="I83:I84"/>
    <mergeCell ref="B77:E78"/>
    <mergeCell ref="F77:H78"/>
    <mergeCell ref="F83:H84"/>
    <mergeCell ref="B83:E84"/>
    <mergeCell ref="B52:E52"/>
    <mergeCell ref="F48:H49"/>
    <mergeCell ref="J66:K66"/>
    <mergeCell ref="B53:E53"/>
    <mergeCell ref="B60:E60"/>
    <mergeCell ref="B54:E55"/>
    <mergeCell ref="F66:H67"/>
    <mergeCell ref="J48:K48"/>
    <mergeCell ref="J54:K54"/>
    <mergeCell ref="I51:I53"/>
    <mergeCell ref="F52:H52"/>
    <mergeCell ref="F11:H11"/>
    <mergeCell ref="J36:K36"/>
    <mergeCell ref="C12:E12"/>
    <mergeCell ref="C13:E13"/>
    <mergeCell ref="F36:H37"/>
    <mergeCell ref="F40:H40"/>
    <mergeCell ref="I14:I15"/>
    <mergeCell ref="F13:H13"/>
    <mergeCell ref="B39:E39"/>
    <mergeCell ref="F39:H39"/>
    <mergeCell ref="B41:E41"/>
    <mergeCell ref="B38:E38"/>
    <mergeCell ref="F41:H41"/>
    <mergeCell ref="B36:E37"/>
    <mergeCell ref="B10:B13"/>
    <mergeCell ref="B19:B20"/>
    <mergeCell ref="B48:E49"/>
    <mergeCell ref="B42:E42"/>
    <mergeCell ref="B40:E40"/>
    <mergeCell ref="C19:E19"/>
    <mergeCell ref="J92:K92"/>
    <mergeCell ref="B96:E97"/>
    <mergeCell ref="F96:H97"/>
    <mergeCell ref="B94:E95"/>
    <mergeCell ref="F94:H95"/>
    <mergeCell ref="F120:G120"/>
    <mergeCell ref="C7:E8"/>
    <mergeCell ref="C9:E9"/>
    <mergeCell ref="C10:E10"/>
    <mergeCell ref="J7:K7"/>
    <mergeCell ref="J14:K14"/>
    <mergeCell ref="J109:K109"/>
    <mergeCell ref="F70:H70"/>
    <mergeCell ref="F81:H81"/>
    <mergeCell ref="F82:H82"/>
    <mergeCell ref="B104:E104"/>
    <mergeCell ref="F104:H104"/>
    <mergeCell ref="J102:K102"/>
    <mergeCell ref="B102:E103"/>
    <mergeCell ref="F102:H103"/>
    <mergeCell ref="I102:I103"/>
    <mergeCell ref="F85:H86"/>
    <mergeCell ref="I7:I8"/>
    <mergeCell ref="F10:H10"/>
  </mergeCells>
  <hyperlinks>
    <hyperlink ref="F1:F3" location="'Kampanie zeroemisyjne WP'!A1" display="'Kampanie zeroemisyjne WP'!A1" xr:uid="{360D388F-7CC6-4DDB-BE4B-AC39BBA23FCA}"/>
  </hyperlinks>
  <pageMargins left="0.7" right="0.7" top="0.75" bottom="0.75" header="0.3" footer="0.3"/>
  <pageSetup paperSize="256" orientation="landscape" r:id="rId1"/>
  <ignoredErrors>
    <ignoredError sqref="G121:J121"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73"/>
  <sheetViews>
    <sheetView zoomScaleNormal="100" workbookViewId="0">
      <pane ySplit="4" topLeftCell="A5" activePane="bottomLeft" state="frozen"/>
      <selection pane="bottomLeft" activeCell="A7" sqref="A7"/>
    </sheetView>
  </sheetViews>
  <sheetFormatPr defaultColWidth="9.140625" defaultRowHeight="15"/>
  <cols>
    <col min="1" max="1" width="2.85546875" style="11" customWidth="1"/>
    <col min="2" max="2" width="5.7109375" style="11" customWidth="1"/>
    <col min="3" max="3" width="61.42578125" style="11" customWidth="1"/>
    <col min="4" max="7" width="44.28515625" style="11" customWidth="1"/>
    <col min="8" max="10" width="12.85546875" style="11" customWidth="1"/>
    <col min="11" max="12" width="25.7109375" style="11" customWidth="1"/>
    <col min="13" max="13" width="29.28515625" style="11" customWidth="1"/>
    <col min="14" max="14" width="22.85546875" style="11" customWidth="1"/>
    <col min="15" max="15" width="14.28515625" style="11" customWidth="1"/>
    <col min="16" max="16384" width="9.140625" style="11"/>
  </cols>
  <sheetData>
    <row r="1" spans="1:14" ht="12.75" customHeight="1">
      <c r="A1" s="11" t="s">
        <v>79</v>
      </c>
      <c r="D1" s="798" t="s">
        <v>542</v>
      </c>
      <c r="E1" s="799" t="str">
        <f>IF('Język - Language'!$B$30="Polski",CONCATENATE("Cennik Reklamowy Wirtualna Polska Media S.A. - obowiązuje od 1.01.2023 r.",CHAR(10),"W celu zasięgnięcia dodatkowych informacji prosimy o kontakt z Biurem Reklamy,",CHAR(10),"reklama@grupawp.pl, tel. (+48) 22 57 63 900; fax (+48) 22 57 63 959"),CONCATENATE("Advertising price list of Wirtualna Polska Media S.A. - valid from January 1, 2023",CHAR(10),"For further information please contact the Advertising Office of WP,",CHAR(10),"reklama@grupawp.pl, phone (+48) 22 57 63 900; fax (+48) 22 57 63 959"))</f>
        <v>Cennik Reklamowy Wirtualna Polska Media S.A. - obowiązuje od 1.01.2023 r.
W celu zasięgnięcia dodatkowych informacji prosimy o kontakt z Biurem Reklamy,
reklama@grupawp.pl, tel. (+48) 22 57 63 900; fax (+48) 22 57 63 959</v>
      </c>
      <c r="F1" s="799"/>
      <c r="G1" s="151"/>
      <c r="J1" s="135"/>
      <c r="K1" s="135"/>
      <c r="L1" s="135"/>
      <c r="M1" s="135"/>
      <c r="N1" s="135"/>
    </row>
    <row r="2" spans="1:14" ht="12.75" customHeight="1">
      <c r="D2" s="798"/>
      <c r="E2" s="799"/>
      <c r="F2" s="799"/>
      <c r="G2" s="151"/>
      <c r="H2" s="135"/>
      <c r="I2" s="135"/>
      <c r="J2" s="135"/>
      <c r="K2" s="135"/>
      <c r="L2" s="135"/>
      <c r="M2" s="135"/>
      <c r="N2" s="135"/>
    </row>
    <row r="3" spans="1:14" ht="12.75" customHeight="1">
      <c r="D3" s="798"/>
      <c r="E3" s="799"/>
      <c r="F3" s="799"/>
      <c r="G3" s="151"/>
      <c r="H3" s="135"/>
      <c r="I3" s="135"/>
      <c r="J3" s="135"/>
      <c r="K3" s="135"/>
      <c r="L3" s="135"/>
      <c r="M3" s="135"/>
      <c r="N3" s="135"/>
    </row>
    <row r="4" spans="1:14" s="140" customFormat="1" ht="12.75" customHeight="1">
      <c r="C4" s="519" t="str">
        <f>IF('Język - Language'!$B$30="Polski","           Reklama mobilna","           Mobile Advertising")</f>
        <v xml:space="preserve">           Reklama mobilna</v>
      </c>
      <c r="F4" s="134" t="str">
        <f>IF('Język - Language'!$B$30="Polski","PL","EN")</f>
        <v>PL</v>
      </c>
      <c r="G4" s="430"/>
    </row>
    <row r="5" spans="1:14" ht="12.75" customHeight="1"/>
    <row r="6" spans="1:14" ht="12.75" customHeight="1"/>
    <row r="7" spans="1:14" s="2" customFormat="1" ht="25.5" customHeight="1">
      <c r="B7" s="855" t="s">
        <v>80</v>
      </c>
      <c r="C7" s="963" t="s">
        <v>81</v>
      </c>
      <c r="D7" s="963" t="str">
        <f>IF('Język - Language'!$B$30="Polski","MODEL EMISJI","MODEL OF EMISSION")</f>
        <v>MODEL EMISJI</v>
      </c>
      <c r="E7" s="983" t="str">
        <f>IF('Język - Language'!$B$30="Polski","CENA RC","PRICE")</f>
        <v>CENA RC</v>
      </c>
      <c r="F7" s="984"/>
      <c r="G7" s="434"/>
      <c r="H7" s="434"/>
      <c r="I7" s="434"/>
      <c r="J7" s="435"/>
      <c r="K7" s="435"/>
      <c r="L7" s="435"/>
    </row>
    <row r="8" spans="1:14" s="2" customFormat="1" ht="12.75" customHeight="1">
      <c r="B8" s="855"/>
      <c r="C8" s="964"/>
      <c r="D8" s="964"/>
      <c r="E8" s="559" t="str">
        <f>IF('Język - Language'!$B$30="Polski","styczeń-wrzesień","Jan-Sep")</f>
        <v>styczeń-wrzesień</v>
      </c>
      <c r="F8" s="560" t="str">
        <f>IF('Język - Language'!$B$30="Polski","październik-grudzień","Oct-Dec")</f>
        <v>październik-grudzień</v>
      </c>
      <c r="G8" s="434"/>
      <c r="H8" s="434"/>
      <c r="I8" s="434"/>
      <c r="J8" s="435"/>
      <c r="K8" s="435"/>
      <c r="L8" s="435"/>
    </row>
    <row r="9" spans="1:14" s="2" customFormat="1" ht="25.5" customHeight="1">
      <c r="B9" s="855"/>
      <c r="C9" s="588" t="s">
        <v>25</v>
      </c>
      <c r="D9" s="370" t="str">
        <f>IF('Język - Language'!$B$30="Polski","Flat Fee / dzień","Flat Fee / 1 day")</f>
        <v>Flat Fee / dzień</v>
      </c>
      <c r="E9" s="470">
        <v>165000</v>
      </c>
      <c r="F9" s="461">
        <v>200000</v>
      </c>
      <c r="G9" s="434"/>
      <c r="L9" s="435"/>
    </row>
    <row r="10" spans="1:14" s="2" customFormat="1" ht="25.5" customHeight="1">
      <c r="B10" s="855"/>
      <c r="C10" s="585" t="s">
        <v>488</v>
      </c>
      <c r="D10" s="369" t="s">
        <v>26</v>
      </c>
      <c r="E10" s="152">
        <v>125000</v>
      </c>
      <c r="F10" s="211">
        <v>150000</v>
      </c>
      <c r="G10" s="434"/>
      <c r="H10" s="434"/>
      <c r="I10" s="434"/>
      <c r="J10" s="435"/>
      <c r="K10" s="435"/>
      <c r="L10" s="435"/>
    </row>
    <row r="11" spans="1:14" s="2" customFormat="1" ht="25.5" customHeight="1">
      <c r="B11" s="855"/>
      <c r="C11" s="585" t="s">
        <v>489</v>
      </c>
      <c r="D11" s="370" t="s">
        <v>26</v>
      </c>
      <c r="E11" s="152">
        <v>75000</v>
      </c>
      <c r="F11" s="211">
        <v>90000</v>
      </c>
      <c r="G11" s="434"/>
      <c r="H11" s="955"/>
      <c r="I11" s="955"/>
      <c r="J11" s="435"/>
      <c r="K11" s="435"/>
      <c r="L11" s="435"/>
    </row>
    <row r="12" spans="1:14" s="2" customFormat="1" ht="25.5" customHeight="1">
      <c r="B12" s="855"/>
      <c r="C12" s="617" t="s">
        <v>28</v>
      </c>
      <c r="D12" s="427" t="s">
        <v>29</v>
      </c>
      <c r="E12" s="381">
        <v>205000</v>
      </c>
      <c r="F12" s="213">
        <v>245000</v>
      </c>
      <c r="G12" s="434"/>
      <c r="H12" s="955"/>
      <c r="I12" s="955"/>
      <c r="J12" s="435"/>
      <c r="K12" s="435"/>
      <c r="L12" s="435"/>
    </row>
    <row r="13" spans="1:14" s="2" customFormat="1" ht="25.5" customHeight="1">
      <c r="B13" s="855"/>
      <c r="C13" s="436"/>
      <c r="D13" s="436"/>
      <c r="E13" s="429"/>
      <c r="F13" s="429"/>
      <c r="G13" s="434"/>
      <c r="H13" s="434"/>
      <c r="I13" s="434"/>
      <c r="J13" s="435"/>
      <c r="K13" s="435"/>
      <c r="L13" s="435"/>
    </row>
    <row r="14" spans="1:14" s="2" customFormat="1" ht="25.5" customHeight="1">
      <c r="B14" s="855"/>
      <c r="C14" s="836" t="s">
        <v>82</v>
      </c>
      <c r="D14" s="836" t="str">
        <f>IF('Język - Language'!$B$30="Polski","MODEL EMISJI","MODEL OF EMISSION")</f>
        <v>MODEL EMISJI</v>
      </c>
      <c r="E14" s="836" t="str">
        <f>IF('Język - Language'!$B$30="Polski","CENA RC","PRICE")</f>
        <v>CENA RC</v>
      </c>
      <c r="F14" s="838"/>
      <c r="G14" s="434"/>
      <c r="H14" s="434"/>
      <c r="I14" s="434"/>
      <c r="J14" s="435"/>
      <c r="K14" s="435"/>
      <c r="L14" s="435"/>
    </row>
    <row r="15" spans="1:14" s="2" customFormat="1" ht="12.75" customHeight="1">
      <c r="B15" s="855"/>
      <c r="C15" s="837"/>
      <c r="D15" s="837"/>
      <c r="E15" s="556" t="str">
        <f>IF('Język - Language'!$B$30="Polski","styczeń-wrzesień","Jan-Sep")</f>
        <v>styczeń-wrzesień</v>
      </c>
      <c r="F15" s="557" t="str">
        <f>IF('Język - Language'!$B$30="Polski","październik-grudzień","Oct-Dec")</f>
        <v>październik-grudzień</v>
      </c>
      <c r="G15" s="434"/>
      <c r="H15" s="434"/>
      <c r="I15" s="434"/>
      <c r="J15" s="435"/>
      <c r="K15" s="435"/>
      <c r="L15" s="435"/>
    </row>
    <row r="16" spans="1:14" s="2" customFormat="1" ht="25.5" customHeight="1">
      <c r="B16" s="855"/>
      <c r="C16" s="588" t="s">
        <v>25</v>
      </c>
      <c r="D16" s="370" t="str">
        <f>IF('Język - Language'!$B$30="Polski","Flat Fee / dzień","Flat Fee / 1 day")</f>
        <v>Flat Fee / dzień</v>
      </c>
      <c r="E16" s="477">
        <v>165000</v>
      </c>
      <c r="F16" s="163">
        <v>200000</v>
      </c>
      <c r="G16" s="434"/>
      <c r="H16" s="955"/>
      <c r="I16" s="955"/>
      <c r="J16" s="435"/>
      <c r="K16" s="435"/>
      <c r="L16" s="435"/>
    </row>
    <row r="17" spans="2:12" s="2" customFormat="1" ht="25.5" customHeight="1">
      <c r="B17" s="855"/>
      <c r="C17" s="585" t="s">
        <v>28</v>
      </c>
      <c r="D17" s="369" t="s">
        <v>29</v>
      </c>
      <c r="E17" s="152">
        <v>250000</v>
      </c>
      <c r="F17" s="211">
        <v>300000</v>
      </c>
      <c r="G17" s="434"/>
      <c r="H17" s="434"/>
      <c r="I17" s="434"/>
      <c r="J17" s="435"/>
      <c r="K17" s="435"/>
      <c r="L17" s="435"/>
    </row>
    <row r="18" spans="2:12" s="2" customFormat="1" ht="25.5" customHeight="1">
      <c r="B18" s="855"/>
      <c r="C18" s="585" t="s">
        <v>488</v>
      </c>
      <c r="D18" s="370" t="s">
        <v>26</v>
      </c>
      <c r="E18" s="164">
        <v>165000</v>
      </c>
      <c r="F18" s="163">
        <v>195000</v>
      </c>
      <c r="G18" s="434"/>
      <c r="H18" s="955"/>
      <c r="I18" s="955"/>
      <c r="J18" s="435"/>
      <c r="K18" s="435"/>
      <c r="L18" s="435"/>
    </row>
    <row r="19" spans="2:12" s="2" customFormat="1" ht="25.5" customHeight="1">
      <c r="B19" s="855"/>
      <c r="C19" s="617" t="s">
        <v>489</v>
      </c>
      <c r="D19" s="630" t="s">
        <v>26</v>
      </c>
      <c r="E19" s="381">
        <v>100000</v>
      </c>
      <c r="F19" s="213">
        <v>120000</v>
      </c>
      <c r="G19" s="434"/>
      <c r="H19" s="955"/>
      <c r="I19" s="955"/>
      <c r="J19" s="435"/>
      <c r="K19" s="435"/>
      <c r="L19" s="435"/>
    </row>
    <row r="20" spans="2:12" s="2" customFormat="1" ht="25.5" customHeight="1">
      <c r="B20" s="855"/>
      <c r="C20" s="173"/>
      <c r="D20" s="436"/>
      <c r="E20" s="429"/>
      <c r="F20" s="429"/>
      <c r="G20" s="434"/>
      <c r="H20" s="434"/>
      <c r="I20" s="434"/>
      <c r="J20" s="435"/>
      <c r="K20" s="435"/>
      <c r="L20" s="435"/>
    </row>
    <row r="21" spans="2:12" s="2" customFormat="1" ht="25.5" customHeight="1">
      <c r="B21" s="855"/>
      <c r="C21" s="965" t="s">
        <v>83</v>
      </c>
      <c r="D21" s="956" t="str">
        <f>IF('Język - Language'!$B$30="Polski","MODEL EMISJI","MODEL OF EMISSION")</f>
        <v>MODEL EMISJI</v>
      </c>
      <c r="E21" s="956" t="str">
        <f>IF('Język - Language'!$B$30="Polski","CENA RC","PRICE")</f>
        <v>CENA RC</v>
      </c>
      <c r="F21" s="957"/>
      <c r="G21" s="434"/>
      <c r="H21" s="434"/>
      <c r="I21" s="434"/>
      <c r="J21" s="435"/>
      <c r="K21" s="435"/>
      <c r="L21" s="435"/>
    </row>
    <row r="22" spans="2:12" s="2" customFormat="1" ht="12.75" customHeight="1">
      <c r="B22" s="855"/>
      <c r="C22" s="966"/>
      <c r="D22" s="979"/>
      <c r="E22" s="603" t="str">
        <f>IF('Język - Language'!$B$30="Polski","styczeń-wrzesień","Jan-Sep")</f>
        <v>styczeń-wrzesień</v>
      </c>
      <c r="F22" s="604" t="str">
        <f>IF('Język - Language'!$B$30="Polski","październik-grudzień","Oct-Dec")</f>
        <v>październik-grudzień</v>
      </c>
      <c r="G22" s="434"/>
      <c r="H22" s="434"/>
      <c r="I22" s="434"/>
      <c r="J22" s="435"/>
      <c r="K22" s="435"/>
      <c r="L22" s="435"/>
    </row>
    <row r="23" spans="2:12" s="2" customFormat="1" ht="25.5" customHeight="1">
      <c r="B23" s="855"/>
      <c r="C23" s="588" t="s">
        <v>25</v>
      </c>
      <c r="D23" s="370" t="str">
        <f>IF('Język - Language'!$B$30="Polski","Flat Fee / dzień","Flat Fee / 1 day")</f>
        <v>Flat Fee / dzień</v>
      </c>
      <c r="E23" s="164">
        <v>55000</v>
      </c>
      <c r="F23" s="163">
        <v>65000</v>
      </c>
      <c r="G23" s="434"/>
      <c r="H23" s="955"/>
      <c r="I23" s="955"/>
      <c r="J23" s="435"/>
      <c r="K23" s="435"/>
      <c r="L23" s="435"/>
    </row>
    <row r="24" spans="2:12" s="2" customFormat="1" ht="25.5" customHeight="1">
      <c r="B24" s="855"/>
      <c r="C24" s="586" t="s">
        <v>490</v>
      </c>
      <c r="D24" s="369" t="s">
        <v>26</v>
      </c>
      <c r="E24" s="152">
        <v>85000</v>
      </c>
      <c r="F24" s="211">
        <v>130000</v>
      </c>
      <c r="G24" s="434"/>
      <c r="H24" s="434"/>
      <c r="I24" s="434"/>
      <c r="J24" s="435"/>
      <c r="K24" s="435"/>
      <c r="L24" s="435"/>
    </row>
    <row r="25" spans="2:12" s="2" customFormat="1" ht="25.5" customHeight="1">
      <c r="B25" s="855"/>
      <c r="C25" s="515" t="s">
        <v>489</v>
      </c>
      <c r="D25" s="427" t="s">
        <v>26</v>
      </c>
      <c r="E25" s="197">
        <v>60000</v>
      </c>
      <c r="F25" s="374">
        <v>70000</v>
      </c>
      <c r="G25" s="434"/>
      <c r="H25" s="434"/>
      <c r="I25" s="434"/>
      <c r="J25" s="435"/>
      <c r="K25" s="435"/>
      <c r="L25" s="435"/>
    </row>
    <row r="26" spans="2:12" s="2" customFormat="1" ht="25.5" customHeight="1">
      <c r="B26" s="855"/>
      <c r="C26" s="439"/>
      <c r="D26" s="436"/>
      <c r="E26" s="429"/>
      <c r="F26" s="429"/>
      <c r="G26" s="434"/>
      <c r="H26" s="434"/>
      <c r="I26" s="434"/>
      <c r="J26" s="435"/>
      <c r="K26" s="435"/>
      <c r="L26" s="435"/>
    </row>
    <row r="27" spans="2:12" s="2" customFormat="1" ht="25.5" customHeight="1">
      <c r="B27" s="855"/>
      <c r="C27" s="968" t="s">
        <v>84</v>
      </c>
      <c r="D27" s="904" t="str">
        <f>IF('Język - Language'!$B$30="Polski","MODEL EMISJI / CZAS","TIME")</f>
        <v>MODEL EMISJI / CZAS</v>
      </c>
      <c r="E27" s="904" t="str">
        <f>IF('Język - Language'!$B$30="Polski","CENA RC","PRICE")</f>
        <v>CENA RC</v>
      </c>
      <c r="F27" s="960"/>
      <c r="G27" s="434"/>
      <c r="H27" s="434"/>
      <c r="I27" s="434"/>
      <c r="J27" s="435"/>
      <c r="K27" s="435"/>
      <c r="L27" s="435"/>
    </row>
    <row r="28" spans="2:12" s="2" customFormat="1" ht="12.75" customHeight="1">
      <c r="B28" s="855"/>
      <c r="C28" s="969"/>
      <c r="D28" s="909"/>
      <c r="E28" s="544" t="str">
        <f>IF('Język - Language'!$B$30="Polski","styczeń-wrzesień","Jan-Sep")</f>
        <v>styczeń-wrzesień</v>
      </c>
      <c r="F28" s="594" t="str">
        <f>IF('Język - Language'!$B$30="Polski","październik-grudzień","Oct-Dec")</f>
        <v>październik-grudzień</v>
      </c>
      <c r="G28" s="434"/>
      <c r="H28" s="434"/>
      <c r="I28" s="434"/>
      <c r="J28" s="435"/>
      <c r="K28" s="435"/>
      <c r="L28" s="435"/>
    </row>
    <row r="29" spans="2:12" s="2" customFormat="1" ht="25.5" customHeight="1">
      <c r="B29" s="855"/>
      <c r="C29" s="618" t="s">
        <v>25</v>
      </c>
      <c r="D29" s="440" t="str">
        <f>IF('Język - Language'!$B$30="Polski","Flat Fee / dzień","Flat Fee / 1 day")</f>
        <v>Flat Fee / dzień</v>
      </c>
      <c r="E29" s="471">
        <v>240000</v>
      </c>
      <c r="F29" s="472">
        <v>315000</v>
      </c>
      <c r="G29" s="434"/>
      <c r="H29" s="434"/>
      <c r="I29" s="434"/>
      <c r="J29" s="435"/>
      <c r="K29" s="435"/>
      <c r="L29" s="435"/>
    </row>
    <row r="30" spans="2:12" s="2" customFormat="1" ht="25.5" customHeight="1">
      <c r="B30" s="855"/>
      <c r="C30" s="585" t="s">
        <v>490</v>
      </c>
      <c r="D30" s="369" t="s">
        <v>26</v>
      </c>
      <c r="E30" s="152">
        <v>105000</v>
      </c>
      <c r="F30" s="211">
        <v>130000</v>
      </c>
      <c r="G30" s="434"/>
      <c r="L30" s="435"/>
    </row>
    <row r="31" spans="2:12" s="2" customFormat="1" ht="25.5" customHeight="1">
      <c r="B31" s="855"/>
      <c r="C31" s="515" t="s">
        <v>489</v>
      </c>
      <c r="D31" s="427" t="s">
        <v>26</v>
      </c>
      <c r="E31" s="197">
        <v>85000</v>
      </c>
      <c r="F31" s="374">
        <v>100000</v>
      </c>
      <c r="G31" s="434"/>
      <c r="H31" s="434"/>
      <c r="I31" s="434"/>
      <c r="J31" s="435"/>
      <c r="K31" s="435"/>
      <c r="L31" s="435"/>
    </row>
    <row r="32" spans="2:12" s="2" customFormat="1" ht="25.5" customHeight="1">
      <c r="B32" s="855"/>
      <c r="C32" s="173"/>
      <c r="D32" s="436"/>
      <c r="E32" s="429"/>
      <c r="F32" s="429"/>
      <c r="G32" s="434"/>
      <c r="H32" s="434"/>
      <c r="I32" s="434"/>
      <c r="J32" s="435"/>
      <c r="K32" s="435"/>
      <c r="L32" s="435"/>
    </row>
    <row r="33" spans="2:12" s="2" customFormat="1" ht="25.5" customHeight="1">
      <c r="B33" s="855"/>
      <c r="C33" s="970" t="s">
        <v>85</v>
      </c>
      <c r="D33" s="958" t="str">
        <f>IF('Język - Language'!$B$30="Polski","MODEL EMISJI","MODEL OF EMISSION")</f>
        <v>MODEL EMISJI</v>
      </c>
      <c r="E33" s="958" t="str">
        <f>IF('Język - Language'!$B$30="Polski","CENA RC","PRICE")</f>
        <v>CENA RC</v>
      </c>
      <c r="F33" s="980"/>
      <c r="G33" s="434"/>
      <c r="H33" s="434"/>
      <c r="I33" s="434"/>
      <c r="J33" s="435"/>
      <c r="K33" s="435"/>
      <c r="L33" s="435"/>
    </row>
    <row r="34" spans="2:12" s="2" customFormat="1" ht="12.75" customHeight="1">
      <c r="B34" s="855"/>
      <c r="C34" s="971"/>
      <c r="D34" s="959"/>
      <c r="E34" s="592" t="str">
        <f>IF('Język - Language'!$B$30="Polski","styczeń-wrzesień","Jan-Sep")</f>
        <v>styczeń-wrzesień</v>
      </c>
      <c r="F34" s="593" t="str">
        <f>IF('Język - Language'!$B$30="Polski","październik-grudzień","Oct-Dec")</f>
        <v>październik-grudzień</v>
      </c>
      <c r="G34" s="434"/>
      <c r="H34" s="434"/>
      <c r="I34" s="434"/>
      <c r="J34" s="435"/>
      <c r="K34" s="435"/>
      <c r="L34" s="435"/>
    </row>
    <row r="35" spans="2:12" s="2" customFormat="1" ht="25.5" customHeight="1">
      <c r="B35" s="855"/>
      <c r="C35" s="616" t="s">
        <v>86</v>
      </c>
      <c r="D35" s="475" t="str">
        <f>IF('Język - Language'!$B$30="Polski","Flat Fee / dzień","Flat Fee / 1 day")</f>
        <v>Flat Fee / dzień</v>
      </c>
      <c r="E35" s="474">
        <v>30000</v>
      </c>
      <c r="F35" s="476">
        <v>35000</v>
      </c>
      <c r="G35" s="434"/>
      <c r="H35" s="434"/>
      <c r="I35" s="434"/>
      <c r="J35" s="435"/>
      <c r="K35" s="435"/>
      <c r="L35" s="435"/>
    </row>
    <row r="36" spans="2:12" s="2" customFormat="1" ht="25.5" customHeight="1">
      <c r="B36" s="855"/>
      <c r="C36" s="586" t="s">
        <v>488</v>
      </c>
      <c r="D36" s="369" t="str">
        <f>IF('Język - Language'!$B$30="Polski","I dniówka, cap 3/uu / dzień","cap 3/uu / 1 day")</f>
        <v>I dniówka, cap 3/uu / dzień</v>
      </c>
      <c r="E36" s="152">
        <v>215000</v>
      </c>
      <c r="F36" s="211">
        <v>260000</v>
      </c>
      <c r="G36" s="434"/>
      <c r="L36" s="435"/>
    </row>
    <row r="37" spans="2:12" s="2" customFormat="1" ht="25.5" customHeight="1">
      <c r="B37" s="855"/>
      <c r="C37" s="531" t="s">
        <v>489</v>
      </c>
      <c r="D37" s="630" t="s">
        <v>26</v>
      </c>
      <c r="E37" s="381">
        <v>190000</v>
      </c>
      <c r="F37" s="213">
        <v>230000</v>
      </c>
      <c r="G37" s="434"/>
      <c r="H37" s="955"/>
      <c r="I37" s="955"/>
      <c r="J37" s="435"/>
      <c r="K37" s="435"/>
      <c r="L37" s="435"/>
    </row>
    <row r="38" spans="2:12" s="2" customFormat="1" ht="25.5" customHeight="1">
      <c r="B38" s="855"/>
      <c r="C38" s="173"/>
      <c r="D38" s="436"/>
      <c r="E38" s="429"/>
      <c r="F38" s="429"/>
      <c r="G38" s="434"/>
      <c r="H38" s="434"/>
      <c r="I38" s="434"/>
      <c r="J38" s="435"/>
      <c r="K38" s="435"/>
      <c r="L38" s="435"/>
    </row>
    <row r="39" spans="2:12" s="2" customFormat="1" ht="25.5" customHeight="1">
      <c r="B39" s="855"/>
      <c r="C39" s="972" t="s">
        <v>87</v>
      </c>
      <c r="D39" s="977" t="str">
        <f>IF('Język - Language'!$B$30="Polski","MODEL EMISJI / CZAS","MODEL OF EMISSION")</f>
        <v>MODEL EMISJI / CZAS</v>
      </c>
      <c r="E39" s="981" t="s">
        <v>69</v>
      </c>
      <c r="F39" s="982"/>
      <c r="G39" s="434"/>
      <c r="H39" s="434"/>
      <c r="I39" s="434"/>
      <c r="J39" s="435"/>
      <c r="K39" s="435"/>
      <c r="L39" s="435"/>
    </row>
    <row r="40" spans="2:12" s="2" customFormat="1" ht="12.75" customHeight="1">
      <c r="B40" s="855"/>
      <c r="C40" s="973"/>
      <c r="D40" s="978"/>
      <c r="E40" s="632" t="str">
        <f>IF('Język - Language'!$B$30="Polski","styczeń-wrzesień","Jan-Sep")</f>
        <v>styczeń-wrzesień</v>
      </c>
      <c r="F40" s="631" t="str">
        <f>IF('Język - Language'!$B$30="Polski","październik-grudzień","Oct-Dec")</f>
        <v>październik-grudzień</v>
      </c>
      <c r="G40" s="434"/>
      <c r="H40" s="434"/>
      <c r="I40" s="434"/>
      <c r="J40" s="435"/>
      <c r="K40" s="435"/>
      <c r="L40" s="435"/>
    </row>
    <row r="41" spans="2:12" s="2" customFormat="1" ht="25.5" customHeight="1">
      <c r="B41" s="855"/>
      <c r="C41" s="818" t="s">
        <v>25</v>
      </c>
      <c r="D41" s="441" t="str">
        <f>IF('Język - Language'!$B$30="Polski","Flat Fee / dzień","Flat Fee / 1 day")</f>
        <v>Flat Fee / dzień</v>
      </c>
      <c r="E41" s="164">
        <v>60000</v>
      </c>
      <c r="F41" s="424">
        <v>70000</v>
      </c>
      <c r="G41" s="434"/>
      <c r="H41" s="955"/>
      <c r="I41" s="955"/>
      <c r="J41" s="435"/>
      <c r="K41" s="435"/>
      <c r="L41" s="435"/>
    </row>
    <row r="42" spans="2:12" s="2" customFormat="1" ht="25.5" customHeight="1">
      <c r="B42" s="855"/>
      <c r="C42" s="819"/>
      <c r="D42" s="441" t="str">
        <f>IF('Język - Language'!$B$30="Polski","Flat Fee / tydzień","Flat Fee / 1 week")</f>
        <v>Flat Fee / tydzień</v>
      </c>
      <c r="E42" s="164">
        <v>335000</v>
      </c>
      <c r="F42" s="163">
        <v>405000</v>
      </c>
      <c r="G42" s="434"/>
      <c r="H42" s="434"/>
      <c r="I42" s="434"/>
      <c r="J42" s="435"/>
      <c r="K42" s="435"/>
      <c r="L42" s="435"/>
    </row>
    <row r="43" spans="2:12" s="2" customFormat="1" ht="25.5" customHeight="1">
      <c r="B43" s="855"/>
      <c r="C43" s="586" t="s">
        <v>28</v>
      </c>
      <c r="D43" s="473" t="s">
        <v>29</v>
      </c>
      <c r="E43" s="152">
        <v>165000</v>
      </c>
      <c r="F43" s="211">
        <v>200000</v>
      </c>
      <c r="G43" s="434"/>
      <c r="H43" s="955"/>
      <c r="I43" s="955"/>
      <c r="J43" s="435"/>
      <c r="K43" s="435"/>
      <c r="L43" s="435"/>
    </row>
    <row r="44" spans="2:12" s="2" customFormat="1" ht="25.5" customHeight="1">
      <c r="B44" s="855"/>
      <c r="C44" s="586" t="s">
        <v>490</v>
      </c>
      <c r="D44" s="369" t="str">
        <f>IF('Język - Language'!$B$30="Polski","I dniówka, cap 3/uu / dzień","cap 3/uu / 1 day")</f>
        <v>I dniówka, cap 3/uu / dzień</v>
      </c>
      <c r="E44" s="152">
        <v>70000</v>
      </c>
      <c r="F44" s="211">
        <v>90000</v>
      </c>
      <c r="G44" s="434"/>
      <c r="H44" s="434"/>
      <c r="I44" s="434"/>
      <c r="J44" s="435"/>
      <c r="K44" s="435"/>
      <c r="L44" s="435"/>
    </row>
    <row r="45" spans="2:12" s="2" customFormat="1" ht="25.5" customHeight="1">
      <c r="B45" s="855"/>
      <c r="C45" s="531" t="s">
        <v>489</v>
      </c>
      <c r="D45" s="630" t="s">
        <v>26</v>
      </c>
      <c r="E45" s="381">
        <v>55000</v>
      </c>
      <c r="F45" s="213">
        <v>65000</v>
      </c>
      <c r="G45" s="434"/>
      <c r="H45" s="434"/>
      <c r="I45" s="434"/>
      <c r="J45" s="435"/>
      <c r="K45" s="435"/>
      <c r="L45" s="435"/>
    </row>
    <row r="46" spans="2:12" s="2" customFormat="1" ht="25.5" customHeight="1">
      <c r="B46" s="855"/>
      <c r="G46" s="434"/>
      <c r="H46" s="434"/>
      <c r="I46" s="434"/>
      <c r="J46" s="435"/>
      <c r="K46" s="435"/>
      <c r="L46" s="435"/>
    </row>
    <row r="47" spans="2:12" s="2" customFormat="1" ht="25.5" customHeight="1">
      <c r="B47" s="855"/>
      <c r="C47" s="974" t="str">
        <f>IF('Język - Language'!$B$30="Polski","SERWISY W DOMENIE WP.PL⁶","WP.PL DOMAIN SITES⁶")</f>
        <v>SERWISY W DOMENIE WP.PL⁶</v>
      </c>
      <c r="D47" s="836" t="str">
        <f>IF('Język - Language'!$B$30="Polski","MODEL EMISJI","MODEL OF EMISSION")</f>
        <v>MODEL EMISJI</v>
      </c>
      <c r="E47" s="836" t="str">
        <f>IF('Język - Language'!$B$30="Polski","CENA RC","PRICE")</f>
        <v>CENA RC</v>
      </c>
      <c r="F47" s="838"/>
      <c r="G47" s="434"/>
      <c r="H47" s="434"/>
      <c r="I47" s="434"/>
      <c r="J47" s="435"/>
      <c r="K47" s="435"/>
      <c r="L47" s="435"/>
    </row>
    <row r="48" spans="2:12" s="2" customFormat="1" ht="12.75" customHeight="1">
      <c r="B48" s="855"/>
      <c r="C48" s="975"/>
      <c r="D48" s="837"/>
      <c r="E48" s="556" t="str">
        <f>IF('Język - Language'!$B$30="Polski","styczeń-wrzesień","Jan-Sep")</f>
        <v>styczeń-wrzesień</v>
      </c>
      <c r="F48" s="605" t="str">
        <f>IF('Język - Language'!$B$30="Polski","październik-grudzień","Oct-Dec")</f>
        <v>październik-grudzień</v>
      </c>
      <c r="G48" s="434"/>
      <c r="H48" s="434"/>
      <c r="I48" s="434"/>
      <c r="J48" s="435"/>
      <c r="K48" s="435"/>
      <c r="L48" s="435"/>
    </row>
    <row r="49" spans="2:13" s="2" customFormat="1" ht="25.5" customHeight="1">
      <c r="B49" s="855"/>
      <c r="C49" s="614" t="s">
        <v>25</v>
      </c>
      <c r="D49" s="441" t="str">
        <f>IF('Język - Language'!$B$30="Polski","Flat Fee / dzień","Flat Fee / 1 day")</f>
        <v>Flat Fee / dzień</v>
      </c>
      <c r="E49" s="477">
        <v>220000</v>
      </c>
      <c r="F49" s="450">
        <v>265000</v>
      </c>
      <c r="G49" s="434"/>
      <c r="H49" s="955"/>
      <c r="I49" s="955"/>
      <c r="J49" s="435"/>
      <c r="K49" s="435"/>
      <c r="L49" s="435"/>
    </row>
    <row r="50" spans="2:13" s="2" customFormat="1" ht="25.5" customHeight="1">
      <c r="B50" s="856"/>
      <c r="C50" s="617" t="s">
        <v>28</v>
      </c>
      <c r="D50" s="426" t="s">
        <v>29</v>
      </c>
      <c r="E50" s="381">
        <v>420000</v>
      </c>
      <c r="F50" s="163">
        <v>510000</v>
      </c>
      <c r="G50" s="434"/>
      <c r="H50" s="955"/>
      <c r="I50" s="955"/>
      <c r="J50" s="435"/>
      <c r="K50" s="435"/>
      <c r="L50" s="435"/>
    </row>
    <row r="51" spans="2:13" ht="12.75" customHeight="1">
      <c r="C51" s="137" t="s">
        <v>39</v>
      </c>
      <c r="D51" s="178"/>
      <c r="E51" s="178"/>
      <c r="F51" s="178"/>
      <c r="G51" s="228"/>
      <c r="H51" s="228"/>
      <c r="I51" s="176"/>
      <c r="J51" s="176"/>
      <c r="K51" s="176"/>
      <c r="L51" s="176"/>
      <c r="M51" s="176"/>
    </row>
    <row r="52" spans="2:13" ht="12.75" customHeight="1">
      <c r="C52" s="137" t="s">
        <v>88</v>
      </c>
      <c r="D52" s="228"/>
      <c r="E52" s="228"/>
      <c r="F52" s="228"/>
      <c r="G52" s="228"/>
      <c r="H52" s="228"/>
      <c r="I52" s="176"/>
      <c r="J52" s="176"/>
      <c r="K52" s="176"/>
      <c r="L52" s="176"/>
      <c r="M52" s="176"/>
    </row>
    <row r="53" spans="2:13" ht="12.75" customHeight="1">
      <c r="C53" s="137" t="s">
        <v>41</v>
      </c>
      <c r="D53" s="228"/>
      <c r="E53" s="228"/>
      <c r="F53" s="228"/>
      <c r="G53" s="228"/>
      <c r="H53" s="228"/>
      <c r="I53" s="176"/>
      <c r="J53" s="176"/>
      <c r="K53" s="176"/>
      <c r="L53" s="176"/>
      <c r="M53" s="176"/>
    </row>
    <row r="54" spans="2:13" ht="12.75" customHeight="1">
      <c r="C54" s="137" t="s">
        <v>42</v>
      </c>
      <c r="D54" s="228"/>
      <c r="E54" s="228"/>
      <c r="F54" s="228"/>
      <c r="G54" s="228"/>
      <c r="H54" s="228"/>
      <c r="I54" s="176"/>
      <c r="J54" s="176"/>
      <c r="K54" s="176"/>
      <c r="L54" s="176"/>
      <c r="M54" s="176"/>
    </row>
    <row r="55" spans="2:13" ht="12.75" customHeight="1">
      <c r="C55" s="137" t="str">
        <f>IF('Język - Language'!$B$30="Polski","⁵ dopłata do opcji Full Page wynosi 25%","⁵ surcharge for the Full Page option is 25%")</f>
        <v>⁵ dopłata do opcji Full Page wynosi 25%</v>
      </c>
      <c r="D55" s="228"/>
      <c r="E55" s="228"/>
      <c r="F55" s="228"/>
      <c r="G55" s="228"/>
      <c r="H55" s="228"/>
      <c r="I55" s="176"/>
      <c r="J55" s="176"/>
      <c r="K55" s="176"/>
      <c r="L55" s="176"/>
      <c r="M55" s="176"/>
    </row>
    <row r="56" spans="2:13" ht="12.75" customHeight="1">
      <c r="C56" s="137" t="s">
        <v>89</v>
      </c>
      <c r="D56" s="228"/>
      <c r="E56" s="228"/>
      <c r="F56" s="228"/>
      <c r="G56" s="228"/>
      <c r="H56" s="228"/>
      <c r="I56" s="176"/>
      <c r="J56" s="176"/>
      <c r="K56" s="176"/>
      <c r="L56" s="176"/>
      <c r="M56" s="176"/>
    </row>
    <row r="57" spans="2:13" ht="12.75" customHeight="1">
      <c r="C57" s="137" t="str">
        <f>IF('Język - Language'!$B$30="Polski","⁷ format dostępny również w PMP (Private Marketplace), cena ustalana indywidualnie","⁷ ad form is also available in PMP (Private Marketplace), the price is set individually")</f>
        <v>⁷ format dostępny również w PMP (Private Marketplace), cena ustalana indywidualnie</v>
      </c>
      <c r="D57" s="228"/>
      <c r="E57" s="228"/>
      <c r="F57" s="228"/>
      <c r="G57" s="228"/>
      <c r="H57" s="228"/>
      <c r="I57" s="176"/>
      <c r="J57" s="176"/>
      <c r="K57" s="176"/>
      <c r="L57" s="176"/>
      <c r="M57" s="176"/>
    </row>
    <row r="58" spans="2:13" ht="12.75" customHeight="1">
      <c r="C58" s="137"/>
      <c r="D58" s="228"/>
      <c r="E58" s="228"/>
      <c r="F58" s="228"/>
      <c r="G58" s="228"/>
      <c r="H58" s="228"/>
      <c r="I58" s="176"/>
      <c r="J58" s="176"/>
      <c r="K58" s="176"/>
      <c r="L58" s="176"/>
      <c r="M58" s="176"/>
    </row>
    <row r="59" spans="2:13" ht="12.75" customHeight="1">
      <c r="C59" s="143" t="s">
        <v>90</v>
      </c>
      <c r="D59" s="177"/>
      <c r="E59" s="228"/>
      <c r="F59" s="228"/>
      <c r="G59" s="177"/>
      <c r="H59" s="177"/>
      <c r="I59" s="228"/>
      <c r="J59" s="228"/>
      <c r="K59" s="228"/>
    </row>
    <row r="60" spans="2:13" ht="25.5" customHeight="1">
      <c r="C60" s="967" t="s">
        <v>91</v>
      </c>
      <c r="D60" s="657" t="s">
        <v>92</v>
      </c>
      <c r="E60" s="658" t="s">
        <v>93</v>
      </c>
      <c r="F60" s="658" t="s">
        <v>94</v>
      </c>
      <c r="G60" s="659" t="s">
        <v>95</v>
      </c>
      <c r="H60" s="177"/>
      <c r="I60" s="177"/>
      <c r="J60" s="228"/>
      <c r="K60" s="228"/>
      <c r="L60" s="228"/>
    </row>
    <row r="61" spans="2:13" ht="12.75" customHeight="1">
      <c r="C61" s="967"/>
      <c r="D61" s="657" t="s">
        <v>96</v>
      </c>
      <c r="E61" s="657" t="s">
        <v>96</v>
      </c>
      <c r="F61" s="657" t="s">
        <v>96</v>
      </c>
      <c r="G61" s="659" t="s">
        <v>97</v>
      </c>
      <c r="H61" s="177"/>
      <c r="I61" s="177"/>
      <c r="J61" s="228"/>
      <c r="K61" s="228"/>
      <c r="L61" s="228"/>
    </row>
    <row r="62" spans="2:13" ht="26.25" customHeight="1">
      <c r="B62" s="976" t="s">
        <v>98</v>
      </c>
      <c r="C62" s="354" t="s">
        <v>99</v>
      </c>
      <c r="D62" s="581">
        <v>420000</v>
      </c>
      <c r="E62" s="366">
        <v>650000</v>
      </c>
      <c r="F62" s="366">
        <v>300000</v>
      </c>
      <c r="G62" s="581">
        <v>180000</v>
      </c>
      <c r="H62" s="177"/>
      <c r="I62" s="177"/>
      <c r="J62" s="228"/>
      <c r="K62" s="228"/>
      <c r="L62" s="228"/>
    </row>
    <row r="63" spans="2:13" ht="25.5" customHeight="1">
      <c r="B63" s="976"/>
      <c r="C63" s="428" t="s">
        <v>100</v>
      </c>
      <c r="D63" s="582">
        <v>160000</v>
      </c>
      <c r="E63" s="743">
        <v>300000</v>
      </c>
      <c r="F63" s="431">
        <v>150000</v>
      </c>
      <c r="G63" s="582">
        <v>90000</v>
      </c>
      <c r="H63" s="177"/>
      <c r="I63" s="177"/>
      <c r="J63" s="228"/>
      <c r="K63" s="228"/>
      <c r="L63" s="228"/>
    </row>
    <row r="64" spans="2:13" ht="15" customHeight="1">
      <c r="C64" s="232"/>
      <c r="D64" s="177"/>
      <c r="E64" s="228"/>
      <c r="F64" s="228"/>
      <c r="G64" s="177"/>
      <c r="H64" s="177"/>
      <c r="I64" s="228"/>
      <c r="J64" s="228"/>
      <c r="K64" s="228"/>
    </row>
    <row r="65" spans="2:11" ht="15" customHeight="1">
      <c r="C65" s="232"/>
      <c r="D65" s="177"/>
      <c r="E65" s="228"/>
      <c r="F65" s="228"/>
      <c r="G65" s="177"/>
      <c r="H65" s="177"/>
      <c r="I65" s="228"/>
      <c r="J65" s="228"/>
      <c r="K65" s="228"/>
    </row>
    <row r="66" spans="2:11" ht="15" customHeight="1">
      <c r="C66" s="232"/>
      <c r="D66" s="177"/>
      <c r="E66" s="228"/>
      <c r="F66" s="228"/>
      <c r="G66" s="177"/>
      <c r="H66" s="177"/>
      <c r="I66" s="228"/>
      <c r="J66" s="228"/>
      <c r="K66" s="228"/>
    </row>
    <row r="67" spans="2:11" ht="7.5" customHeight="1">
      <c r="B67" s="962" t="str">
        <f>IF('Język - Language'!$B$30="Polski","REKLAMA ODSŁONOWA (vCPM) NA SERWISACH &gt;&gt;&gt;","vCPM ADVERTISING ON SITES &gt;&gt;&gt;")</f>
        <v>REKLAMA ODSŁONOWA (vCPM) NA SERWISACH &gt;&gt;&gt;</v>
      </c>
      <c r="C67" s="962"/>
      <c r="D67" s="962"/>
      <c r="E67" s="231"/>
      <c r="F67" s="231"/>
      <c r="G67" s="231"/>
      <c r="H67" s="231"/>
      <c r="I67" s="231"/>
      <c r="J67" s="231"/>
      <c r="K67" s="231"/>
    </row>
    <row r="68" spans="2:11">
      <c r="B68" s="962"/>
      <c r="C68" s="962"/>
      <c r="D68" s="962"/>
      <c r="E68" s="231"/>
      <c r="F68" s="231"/>
      <c r="G68" s="231"/>
      <c r="H68" s="231"/>
      <c r="I68" s="231"/>
      <c r="J68" s="231"/>
      <c r="K68" s="231"/>
    </row>
    <row r="69" spans="2:11" ht="7.5" customHeight="1">
      <c r="B69" s="962"/>
      <c r="C69" s="962"/>
      <c r="D69" s="962"/>
      <c r="E69" s="231"/>
      <c r="F69" s="231"/>
      <c r="G69" s="231"/>
      <c r="H69" s="231"/>
      <c r="I69" s="231"/>
      <c r="J69" s="231"/>
      <c r="K69" s="231"/>
    </row>
    <row r="70" spans="2:11">
      <c r="C70" s="230"/>
      <c r="D70" s="233"/>
      <c r="E70" s="231"/>
      <c r="F70" s="231"/>
      <c r="G70" s="231"/>
      <c r="H70" s="231"/>
      <c r="I70" s="231"/>
      <c r="J70" s="231"/>
      <c r="K70" s="231"/>
    </row>
    <row r="71" spans="2:11" ht="7.5" customHeight="1">
      <c r="B71" s="961" t="str">
        <f>IF('Język - Language'!$B$30="Polski","REKLAMA DATA POWER &gt;&gt;&gt;","DATA POWER ADVERTISING &gt;&gt;&gt;")</f>
        <v>REKLAMA DATA POWER &gt;&gt;&gt;</v>
      </c>
      <c r="C71" s="961"/>
      <c r="D71" s="961"/>
      <c r="E71" s="231"/>
      <c r="F71" s="231"/>
      <c r="G71" s="228"/>
      <c r="H71" s="228"/>
      <c r="I71" s="228"/>
      <c r="J71" s="228"/>
      <c r="K71" s="228"/>
    </row>
    <row r="72" spans="2:11" ht="12.75" customHeight="1">
      <c r="B72" s="961"/>
      <c r="C72" s="961"/>
      <c r="D72" s="961"/>
    </row>
    <row r="73" spans="2:11" ht="7.5" customHeight="1">
      <c r="B73" s="961"/>
      <c r="C73" s="961"/>
      <c r="D73" s="961"/>
    </row>
  </sheetData>
  <mergeCells count="40">
    <mergeCell ref="E1:F3"/>
    <mergeCell ref="D1:D3"/>
    <mergeCell ref="D21:D22"/>
    <mergeCell ref="H50:I50"/>
    <mergeCell ref="E33:F33"/>
    <mergeCell ref="H49:I49"/>
    <mergeCell ref="H37:I37"/>
    <mergeCell ref="H41:I41"/>
    <mergeCell ref="E39:F39"/>
    <mergeCell ref="H12:I12"/>
    <mergeCell ref="H16:I16"/>
    <mergeCell ref="H11:I11"/>
    <mergeCell ref="E47:F47"/>
    <mergeCell ref="E7:F7"/>
    <mergeCell ref="E14:F14"/>
    <mergeCell ref="D7:D8"/>
    <mergeCell ref="B71:D73"/>
    <mergeCell ref="B67:D69"/>
    <mergeCell ref="C41:C42"/>
    <mergeCell ref="B7:B50"/>
    <mergeCell ref="C7:C8"/>
    <mergeCell ref="C21:C22"/>
    <mergeCell ref="C60:C61"/>
    <mergeCell ref="C14:C15"/>
    <mergeCell ref="C27:C28"/>
    <mergeCell ref="C33:C34"/>
    <mergeCell ref="C39:C40"/>
    <mergeCell ref="C47:C48"/>
    <mergeCell ref="D27:D28"/>
    <mergeCell ref="B62:B63"/>
    <mergeCell ref="D47:D48"/>
    <mergeCell ref="D39:D40"/>
    <mergeCell ref="H43:I43"/>
    <mergeCell ref="E21:F21"/>
    <mergeCell ref="D33:D34"/>
    <mergeCell ref="E27:F27"/>
    <mergeCell ref="D14:D15"/>
    <mergeCell ref="H19:I19"/>
    <mergeCell ref="H23:I23"/>
    <mergeCell ref="H18:I18"/>
  </mergeCells>
  <hyperlinks>
    <hyperlink ref="B67" location="'Serwisy &amp; Pakiety'!A22" display="'Serwisy &amp; Pakiety'!A22" xr:uid="{00000000-0004-0000-0300-000000000000}"/>
    <hyperlink ref="B71" location="DataPower!A7" display="DataPower!A7" xr:uid="{00000000-0004-0000-0300-000001000000}"/>
    <hyperlink ref="B67:D69" location="'Serwisy &amp; Pakiety'!A8" display="'Serwisy &amp; Pakiety'!A8" xr:uid="{00000000-0004-0000-0300-000002000000}"/>
    <hyperlink ref="B71:D73" location="'Dopłaty - Extra charges'!A68" display="'Dopłaty - Extra charges'!A68" xr:uid="{00000000-0004-0000-0300-000003000000}"/>
    <hyperlink ref="D1:D3" location="'Kampanie zeroemisyjne WP'!A1" display="'Kampanie zeroemisyjne WP'!A1" xr:uid="{557484BB-0F7D-4F36-B59F-60546448B383}"/>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O70"/>
  <sheetViews>
    <sheetView zoomScaleNormal="100" workbookViewId="0">
      <pane ySplit="4" topLeftCell="A5" activePane="bottomLeft" state="frozen"/>
      <selection pane="bottomLeft" activeCell="A7" sqref="A7"/>
    </sheetView>
  </sheetViews>
  <sheetFormatPr defaultColWidth="11.42578125" defaultRowHeight="12.75"/>
  <cols>
    <col min="1" max="1" width="2.85546875" style="2" customWidth="1"/>
    <col min="2" max="2" width="5.7109375" style="2" customWidth="1"/>
    <col min="3" max="3" width="61.42578125" style="2" customWidth="1"/>
    <col min="4" max="6" width="44.28515625" style="2" customWidth="1"/>
    <col min="7" max="7" width="27.85546875" style="2" customWidth="1"/>
    <col min="8" max="8" width="25.5703125" style="2" customWidth="1"/>
    <col min="9" max="9" width="10" style="2" customWidth="1"/>
    <col min="10" max="10" width="15.42578125" style="2" customWidth="1"/>
    <col min="11" max="13" width="13.42578125" style="2" customWidth="1"/>
    <col min="14" max="14" width="11" style="2" customWidth="1"/>
    <col min="15" max="15" width="24" style="2" customWidth="1"/>
    <col min="16" max="16384" width="11.42578125" style="2"/>
  </cols>
  <sheetData>
    <row r="1" spans="2:15" ht="12.75" customHeight="1">
      <c r="C1" s="13" t="s">
        <v>101</v>
      </c>
      <c r="D1" s="798" t="s">
        <v>542</v>
      </c>
      <c r="E1" s="799" t="str">
        <f>IF('Język - Language'!$B$30="Polski",CONCATENATE("Cennik Reklamowy Wirtualna Polska Media S.A. - obowiązuje od 1.01.2023 r.",CHAR(10),"W celu zasięgnięcia dodatkowych informacji prosimy o kontakt z Biurem Reklamy,",CHAR(10),"reklama@grupawp.pl, tel. (+48) 22 57 63 900; fax (+48) 22 57 63 959"),CONCATENATE("Advertising price list of Wirtualna Polska Media S.A. - valid from January 1, 2023",CHAR(10),"For further information please contact the Advertising Office of WP,",CHAR(10),"reklama@grupawp.pl, phone (+48) 22 57 63 900; fax (+48) 22 57 63 959"))</f>
        <v>Cennik Reklamowy Wirtualna Polska Media S.A. - obowiązuje od 1.01.2023 r.
W celu zasięgnięcia dodatkowych informacji prosimy o kontakt z Biurem Reklamy,
reklama@grupawp.pl, tel. (+48) 22 57 63 900; fax (+48) 22 57 63 959</v>
      </c>
      <c r="F1" s="799"/>
      <c r="G1" s="135"/>
      <c r="H1" s="135"/>
      <c r="I1" s="58"/>
    </row>
    <row r="2" spans="2:15" ht="12.75" customHeight="1">
      <c r="D2" s="798"/>
      <c r="E2" s="799"/>
      <c r="F2" s="799"/>
      <c r="G2" s="135"/>
      <c r="H2" s="135"/>
      <c r="I2" s="58"/>
    </row>
    <row r="3" spans="2:15">
      <c r="D3" s="798"/>
      <c r="E3" s="799"/>
      <c r="F3" s="799"/>
      <c r="G3" s="135"/>
      <c r="H3" s="135"/>
      <c r="I3" s="58"/>
    </row>
    <row r="4" spans="2:15" s="29" customFormat="1" ht="12.75" customHeight="1">
      <c r="C4" s="520" t="str">
        <f>IF('Język - Language'!$B$30="Polski","           Desktop - Emisje dobowe i tygodniowe","           Flat Fee daily and weekly emission")</f>
        <v xml:space="preserve">           Desktop - Emisje dobowe i tygodniowe</v>
      </c>
      <c r="F4" s="134" t="str">
        <f>IF('Język - Language'!$B$30="Polski","PL","EN")</f>
        <v>PL</v>
      </c>
    </row>
    <row r="5" spans="2:15" ht="12.75" customHeight="1"/>
    <row r="6" spans="2:15" ht="12.75" customHeight="1">
      <c r="C6" s="13"/>
      <c r="D6" s="13"/>
      <c r="E6" s="13"/>
      <c r="F6" s="13"/>
      <c r="G6" s="13"/>
      <c r="H6" s="13"/>
      <c r="I6" s="13"/>
      <c r="J6" s="13"/>
      <c r="K6" s="13"/>
      <c r="L6" s="13"/>
      <c r="M6" s="13"/>
      <c r="N6" s="13"/>
      <c r="O6" s="3"/>
    </row>
    <row r="7" spans="2:15" ht="25.5" customHeight="1">
      <c r="B7" s="855" t="s">
        <v>51</v>
      </c>
      <c r="C7" s="968" t="s">
        <v>102</v>
      </c>
      <c r="D7" s="904" t="str">
        <f>IF('Język - Language'!$B$30="Polski","MODEL EMISJI / CZAS","TIME")</f>
        <v>MODEL EMISJI / CZAS</v>
      </c>
      <c r="E7" s="904" t="str">
        <f>IF('Język - Language'!$B$30="Polski","CENA RC","PRICE")</f>
        <v>CENA RC</v>
      </c>
      <c r="F7" s="960"/>
      <c r="G7" s="444"/>
      <c r="H7" s="444"/>
      <c r="I7" s="434"/>
      <c r="J7" s="434"/>
      <c r="K7" s="434"/>
      <c r="L7" s="434"/>
      <c r="M7" s="435"/>
      <c r="N7" s="435"/>
      <c r="O7" s="435"/>
    </row>
    <row r="8" spans="2:15" ht="12.75" customHeight="1">
      <c r="B8" s="855"/>
      <c r="C8" s="969"/>
      <c r="D8" s="909"/>
      <c r="E8" s="543" t="str">
        <f>IF('Język - Language'!$B$30="Polski","styczeń-wrzesień","Jan-Sep")</f>
        <v>styczeń-wrzesień</v>
      </c>
      <c r="F8" s="561" t="str">
        <f>IF('Język - Language'!$B$30="Polski","październik-grudzień","Oct-Dec")</f>
        <v>październik-grudzień</v>
      </c>
      <c r="G8" s="444"/>
      <c r="H8" s="444"/>
      <c r="I8" s="434"/>
      <c r="J8" s="434"/>
      <c r="K8" s="434"/>
      <c r="L8" s="434"/>
      <c r="M8" s="435"/>
      <c r="N8" s="435"/>
      <c r="O8" s="435"/>
    </row>
    <row r="9" spans="2:15" ht="25.5" customHeight="1">
      <c r="B9" s="855"/>
      <c r="C9" s="588" t="s">
        <v>55</v>
      </c>
      <c r="D9" s="369" t="str">
        <f>IF('Język - Language'!$B$30="Polski","Flat Fee / dzień","Flat Fee / 1 day")</f>
        <v>Flat Fee / dzień</v>
      </c>
      <c r="E9" s="478">
        <v>120000</v>
      </c>
      <c r="F9" s="163">
        <v>74000</v>
      </c>
      <c r="G9" s="443"/>
      <c r="H9" s="443"/>
      <c r="I9" s="434"/>
      <c r="J9" s="434"/>
      <c r="K9" s="434"/>
      <c r="L9" s="434"/>
      <c r="M9" s="435"/>
      <c r="N9" s="435"/>
      <c r="O9" s="435"/>
    </row>
    <row r="10" spans="2:15" ht="25.5" customHeight="1">
      <c r="B10" s="855"/>
      <c r="C10" s="846" t="s">
        <v>510</v>
      </c>
      <c r="D10" s="369" t="str">
        <f>IF('Język - Language'!$B$30="Polski","Flat Fee / dzień","Flat Fee / 1 day")</f>
        <v>Flat Fee / dzień</v>
      </c>
      <c r="E10" s="152">
        <v>53000</v>
      </c>
      <c r="F10" s="163">
        <v>63000</v>
      </c>
      <c r="G10" s="443"/>
      <c r="H10" s="443"/>
      <c r="I10" s="434"/>
      <c r="J10" s="434"/>
      <c r="K10" s="434"/>
      <c r="L10" s="434"/>
      <c r="M10" s="435"/>
      <c r="N10" s="435"/>
      <c r="O10" s="435"/>
    </row>
    <row r="11" spans="2:15" ht="25.5" customHeight="1">
      <c r="B11" s="855"/>
      <c r="C11" s="843"/>
      <c r="D11" s="630" t="str">
        <f>IF('Język - Language'!$B$30="Polski","Flat Fee / tydzień","Flat Fee / 1 week")</f>
        <v>Flat Fee / tydzień</v>
      </c>
      <c r="E11" s="381">
        <v>230000</v>
      </c>
      <c r="F11" s="213">
        <v>305000</v>
      </c>
      <c r="G11" s="443"/>
      <c r="H11" s="443"/>
      <c r="I11" s="434"/>
      <c r="J11" s="434"/>
      <c r="K11" s="434"/>
      <c r="L11" s="434"/>
      <c r="M11" s="435"/>
      <c r="N11" s="435"/>
      <c r="O11" s="435"/>
    </row>
    <row r="12" spans="2:15" ht="25.5" customHeight="1">
      <c r="B12" s="855"/>
      <c r="C12" s="173"/>
      <c r="D12" s="436"/>
      <c r="E12" s="429"/>
      <c r="F12" s="429"/>
      <c r="G12" s="429"/>
      <c r="H12" s="429"/>
      <c r="I12" s="434"/>
      <c r="J12" s="434"/>
      <c r="K12" s="434"/>
      <c r="L12" s="434"/>
      <c r="M12" s="435"/>
      <c r="N12" s="435"/>
      <c r="O12" s="435"/>
    </row>
    <row r="13" spans="2:15" ht="25.5" customHeight="1">
      <c r="B13" s="855"/>
      <c r="C13" s="970" t="s">
        <v>103</v>
      </c>
      <c r="D13" s="958" t="str">
        <f>IF('Język - Language'!$B$30="Polski","MODEL EMISJI","MODEL OF EMISSION")</f>
        <v>MODEL EMISJI</v>
      </c>
      <c r="E13" s="958" t="str">
        <f>IF('Język - Language'!$B$30="Polski","CENA RC","PRICE")</f>
        <v>CENA RC</v>
      </c>
      <c r="F13" s="980"/>
      <c r="G13" s="442"/>
      <c r="H13" s="442"/>
      <c r="I13" s="434"/>
      <c r="J13" s="434"/>
      <c r="K13" s="434"/>
      <c r="L13" s="434"/>
      <c r="M13" s="435"/>
      <c r="N13" s="435"/>
      <c r="O13" s="435"/>
    </row>
    <row r="14" spans="2:15" ht="12.75" customHeight="1">
      <c r="B14" s="855"/>
      <c r="C14" s="971"/>
      <c r="D14" s="959"/>
      <c r="E14" s="592" t="str">
        <f>IF('Język - Language'!$B$30="Polski","styczeń-wrzesień","Jan-Sep")</f>
        <v>styczeń-wrzesień</v>
      </c>
      <c r="F14" s="593" t="str">
        <f>IF('Język - Language'!$B$30="Polski","październik-grudzień","Oct-Dec")</f>
        <v>październik-grudzień</v>
      </c>
      <c r="G14" s="442"/>
      <c r="H14" s="442"/>
      <c r="I14" s="434"/>
      <c r="J14" s="434"/>
      <c r="K14" s="434"/>
      <c r="L14" s="434"/>
      <c r="M14" s="435"/>
      <c r="N14" s="435"/>
      <c r="O14" s="435"/>
    </row>
    <row r="15" spans="2:15" ht="25.5" customHeight="1">
      <c r="B15" s="855"/>
      <c r="C15" s="619" t="s">
        <v>511</v>
      </c>
      <c r="D15" s="370" t="s">
        <v>7</v>
      </c>
      <c r="E15" s="474">
        <v>27000</v>
      </c>
      <c r="F15" s="199">
        <v>32000</v>
      </c>
      <c r="G15" s="443"/>
      <c r="H15" s="443"/>
      <c r="I15" s="434"/>
      <c r="J15" s="434"/>
      <c r="K15" s="434"/>
      <c r="L15" s="434"/>
      <c r="M15" s="435"/>
      <c r="N15" s="435"/>
      <c r="O15" s="435"/>
    </row>
    <row r="16" spans="2:15" ht="25.5" customHeight="1">
      <c r="B16" s="855"/>
      <c r="C16" s="583" t="s">
        <v>512</v>
      </c>
      <c r="D16" s="92" t="s">
        <v>7</v>
      </c>
      <c r="E16" s="349">
        <v>37000</v>
      </c>
      <c r="F16" s="374">
        <v>48000</v>
      </c>
      <c r="G16" s="443"/>
      <c r="H16" s="443"/>
      <c r="I16" s="434"/>
      <c r="J16" s="434"/>
      <c r="K16" s="434"/>
      <c r="L16" s="434"/>
      <c r="M16" s="435"/>
      <c r="N16" s="435"/>
      <c r="O16" s="435"/>
    </row>
    <row r="17" spans="2:15" ht="25.5" customHeight="1">
      <c r="B17" s="855"/>
      <c r="C17" s="970" t="s">
        <v>85</v>
      </c>
      <c r="D17" s="958" t="str">
        <f>IF('Język - Language'!$B$30="Polski","MODEL EMISJI","MODEL OF EMISSION")</f>
        <v>MODEL EMISJI</v>
      </c>
      <c r="E17" s="958" t="str">
        <f>IF('Język - Language'!$B$30="Polski","CENA RC","PRICE")</f>
        <v>CENA RC</v>
      </c>
      <c r="F17" s="980"/>
      <c r="G17" s="443"/>
      <c r="H17" s="443"/>
      <c r="I17" s="434"/>
      <c r="J17" s="434"/>
      <c r="K17" s="434"/>
      <c r="L17" s="434"/>
      <c r="M17" s="435"/>
      <c r="N17" s="435"/>
      <c r="O17" s="435"/>
    </row>
    <row r="18" spans="2:15" ht="12.75" customHeight="1">
      <c r="B18" s="855"/>
      <c r="C18" s="971"/>
      <c r="D18" s="959"/>
      <c r="E18" s="592" t="str">
        <f>IF('Język - Language'!$B$30="Polski","styczeń-wrzesień","Jan-Sep")</f>
        <v>styczeń-wrzesień</v>
      </c>
      <c r="F18" s="593" t="str">
        <f>IF('Język - Language'!$B$30="Polski","październik-grudzień","Oct-Dec")</f>
        <v>październik-grudzień</v>
      </c>
      <c r="G18" s="443"/>
      <c r="H18" s="443"/>
      <c r="I18" s="434"/>
      <c r="J18" s="434"/>
      <c r="K18" s="434"/>
      <c r="L18" s="434"/>
      <c r="M18" s="435"/>
      <c r="N18" s="435"/>
      <c r="O18" s="435"/>
    </row>
    <row r="19" spans="2:15" ht="25.5" customHeight="1">
      <c r="B19" s="855"/>
      <c r="C19" s="619" t="s">
        <v>513</v>
      </c>
      <c r="D19" s="369" t="s">
        <v>104</v>
      </c>
      <c r="E19" s="474">
        <v>42000</v>
      </c>
      <c r="F19" s="199">
        <v>53000</v>
      </c>
      <c r="G19" s="443"/>
      <c r="H19" s="443"/>
      <c r="I19" s="955"/>
      <c r="J19" s="955"/>
      <c r="K19" s="955"/>
      <c r="L19" s="955"/>
      <c r="M19" s="435"/>
      <c r="N19" s="435"/>
      <c r="O19" s="435"/>
    </row>
    <row r="20" spans="2:15" ht="25.5" customHeight="1">
      <c r="B20" s="855"/>
      <c r="C20" s="617" t="s">
        <v>510</v>
      </c>
      <c r="D20" s="427" t="s">
        <v>7</v>
      </c>
      <c r="E20" s="197">
        <v>63000</v>
      </c>
      <c r="F20" s="374">
        <v>79000</v>
      </c>
      <c r="G20" s="443"/>
      <c r="H20" s="443"/>
      <c r="I20" s="434"/>
      <c r="J20" s="434"/>
      <c r="K20" s="434"/>
      <c r="L20" s="434"/>
      <c r="M20" s="435"/>
      <c r="N20" s="435"/>
      <c r="O20" s="435"/>
    </row>
    <row r="21" spans="2:15" ht="25.5" customHeight="1">
      <c r="B21" s="855"/>
      <c r="C21" s="437"/>
      <c r="D21" s="436"/>
      <c r="E21" s="429"/>
      <c r="F21" s="429"/>
      <c r="G21" s="429"/>
      <c r="H21" s="429"/>
      <c r="I21" s="434"/>
      <c r="J21" s="434"/>
      <c r="K21" s="434"/>
      <c r="L21" s="434"/>
      <c r="M21" s="435"/>
      <c r="N21" s="435"/>
      <c r="O21" s="435"/>
    </row>
    <row r="22" spans="2:15" ht="25.5" customHeight="1">
      <c r="B22" s="855"/>
      <c r="C22" s="974" t="s">
        <v>105</v>
      </c>
      <c r="D22" s="836" t="str">
        <f>IF('Język - Language'!$B$30="Polski","MODEL EMISJI","MODEL OF EMISSION")</f>
        <v>MODEL EMISJI</v>
      </c>
      <c r="E22" s="836" t="str">
        <f>IF('Język - Language'!$B$30="Polski","CENA RC","PRICE")</f>
        <v>CENA RC</v>
      </c>
      <c r="F22" s="838"/>
      <c r="G22" s="442"/>
      <c r="H22" s="442"/>
      <c r="I22" s="434"/>
      <c r="J22" s="434"/>
      <c r="K22" s="434"/>
      <c r="L22" s="434"/>
      <c r="M22" s="435"/>
      <c r="N22" s="435"/>
      <c r="O22" s="435"/>
    </row>
    <row r="23" spans="2:15" ht="12.75" customHeight="1">
      <c r="B23" s="855"/>
      <c r="C23" s="975"/>
      <c r="D23" s="837"/>
      <c r="E23" s="556" t="str">
        <f>IF('Język - Language'!$B$30="Polski","styczeń-wrzesień","Jan-Sep")</f>
        <v>styczeń-wrzesień</v>
      </c>
      <c r="F23" s="613" t="str">
        <f>IF('Język - Language'!$B$30="Polski","październik-grudzień","Oct-Dec")</f>
        <v>październik-grudzień</v>
      </c>
      <c r="G23" s="442"/>
      <c r="H23" s="442"/>
      <c r="I23" s="434"/>
      <c r="J23" s="434"/>
      <c r="K23" s="434"/>
      <c r="L23" s="434"/>
      <c r="M23" s="435"/>
      <c r="N23" s="435"/>
      <c r="O23" s="435"/>
    </row>
    <row r="24" spans="2:15" ht="25.5" customHeight="1">
      <c r="B24" s="855"/>
      <c r="C24" s="614" t="s">
        <v>55</v>
      </c>
      <c r="D24" s="480" t="s">
        <v>7</v>
      </c>
      <c r="E24" s="477">
        <v>75000</v>
      </c>
      <c r="F24" s="450">
        <v>90000</v>
      </c>
      <c r="G24" s="443"/>
      <c r="H24" s="443"/>
      <c r="I24" s="955"/>
      <c r="J24" s="955"/>
      <c r="K24" s="955"/>
      <c r="L24" s="955"/>
      <c r="M24" s="435"/>
      <c r="N24" s="435"/>
      <c r="O24" s="435"/>
    </row>
    <row r="25" spans="2:15" ht="25.5" customHeight="1">
      <c r="B25" s="855"/>
      <c r="C25" s="585" t="s">
        <v>106</v>
      </c>
      <c r="D25" s="473" t="s">
        <v>104</v>
      </c>
      <c r="E25" s="152">
        <v>250000</v>
      </c>
      <c r="F25" s="211">
        <v>310000</v>
      </c>
      <c r="G25" s="443"/>
      <c r="H25" s="443"/>
      <c r="I25" s="434"/>
      <c r="J25" s="434"/>
      <c r="K25" s="434"/>
      <c r="L25" s="434"/>
      <c r="M25" s="435"/>
      <c r="N25" s="435"/>
      <c r="O25" s="435"/>
    </row>
    <row r="26" spans="2:15" ht="25.5" customHeight="1">
      <c r="B26" s="855"/>
      <c r="C26" s="585" t="s">
        <v>107</v>
      </c>
      <c r="D26" s="473" t="s">
        <v>104</v>
      </c>
      <c r="E26" s="152">
        <v>310000</v>
      </c>
      <c r="F26" s="211">
        <v>370000</v>
      </c>
      <c r="G26" s="443"/>
      <c r="H26" s="443"/>
      <c r="I26" s="434"/>
      <c r="J26" s="434"/>
      <c r="K26" s="434"/>
      <c r="L26" s="434"/>
      <c r="M26" s="435"/>
      <c r="N26" s="435"/>
      <c r="O26" s="435"/>
    </row>
    <row r="27" spans="2:15" ht="25.5" customHeight="1">
      <c r="B27" s="856"/>
      <c r="C27" s="515" t="s">
        <v>510</v>
      </c>
      <c r="D27" s="426" t="s">
        <v>7</v>
      </c>
      <c r="E27" s="197">
        <v>135000</v>
      </c>
      <c r="F27" s="374">
        <v>160000</v>
      </c>
      <c r="G27" s="443"/>
      <c r="H27" s="443"/>
      <c r="I27" s="434"/>
      <c r="J27" s="434"/>
      <c r="K27" s="434"/>
      <c r="L27" s="434"/>
      <c r="M27" s="435"/>
      <c r="N27" s="435"/>
      <c r="O27" s="435"/>
    </row>
    <row r="28" spans="2:15">
      <c r="C28" s="344" t="str">
        <f>IF('Język - Language'!$B$30="Polski","¹ format dostępny również w PMP (Private Marketplace), cena ustalana indywidualnie","¹ ad form is also available in PMP (Private Marketplace), the price is set individually")</f>
        <v>¹ format dostępny również w PMP (Private Marketplace), cena ustalana indywidualnie</v>
      </c>
      <c r="D28" s="142"/>
      <c r="E28" s="142"/>
      <c r="F28" s="142"/>
      <c r="G28" s="142"/>
      <c r="K28" s="3"/>
    </row>
    <row r="29" spans="2:15">
      <c r="C29" s="344"/>
      <c r="D29" s="142"/>
      <c r="E29" s="142"/>
      <c r="F29" s="142"/>
      <c r="G29" s="142"/>
      <c r="K29" s="3"/>
    </row>
    <row r="30" spans="2:15">
      <c r="C30" s="74"/>
      <c r="D30" s="59"/>
      <c r="E30" s="59"/>
      <c r="F30" s="33"/>
      <c r="G30" s="33"/>
      <c r="H30" s="7"/>
      <c r="I30" s="7"/>
      <c r="J30" s="22"/>
    </row>
    <row r="31" spans="2:15" ht="25.5" customHeight="1">
      <c r="B31" s="855" t="s">
        <v>51</v>
      </c>
      <c r="C31" s="991" t="str">
        <f>IF('Język - Language'!$B$30="Polski",CONCATENATE("NAGŁÓWEK SPONSOROWANY",CHAR(10),"MIEJSCE EMISJI"),CONCATENATE("SPONSORED HEADING",CHAR(10),"PLACE OF EMISSION"))</f>
        <v>NAGŁÓWEK SPONSOROWANY
MIEJSCE EMISJI</v>
      </c>
      <c r="D31" s="989" t="s">
        <v>108</v>
      </c>
      <c r="E31" s="989" t="str">
        <f>IF('Język - Language'!$B$30="Polski","CENA RC","RC PRICE")</f>
        <v>CENA RC</v>
      </c>
      <c r="F31" s="990"/>
      <c r="G31" s="988"/>
      <c r="H31" s="988"/>
      <c r="I31" s="6"/>
      <c r="J31" s="147"/>
      <c r="K31" s="147"/>
    </row>
    <row r="32" spans="2:15" ht="12.75" customHeight="1">
      <c r="B32" s="855"/>
      <c r="C32" s="991"/>
      <c r="D32" s="989"/>
      <c r="E32" s="73" t="s">
        <v>109</v>
      </c>
      <c r="F32" s="562" t="str">
        <f>IF('Język - Language'!$B$30="Polski","+ tapeta (1/uu / dzień)"," + Wallpaper (1/uu / day)")</f>
        <v>+ tapeta (1/uu / dzień)</v>
      </c>
      <c r="G32" s="988"/>
      <c r="H32" s="988"/>
      <c r="I32" s="6"/>
      <c r="J32" s="147"/>
      <c r="K32" s="147"/>
    </row>
    <row r="33" spans="2:12" ht="25.5" customHeight="1">
      <c r="B33" s="855"/>
      <c r="C33" s="565" t="s">
        <v>110</v>
      </c>
      <c r="D33" s="985" t="s">
        <v>104</v>
      </c>
      <c r="E33" s="406">
        <v>21000</v>
      </c>
      <c r="F33" s="479">
        <v>27000</v>
      </c>
      <c r="G33" s="758"/>
      <c r="H33" s="759"/>
      <c r="I33" s="111"/>
      <c r="J33" s="147"/>
      <c r="K33" s="147"/>
      <c r="L33" s="147"/>
    </row>
    <row r="34" spans="2:12" ht="25.5" customHeight="1">
      <c r="B34" s="855"/>
      <c r="C34" s="566" t="s">
        <v>111</v>
      </c>
      <c r="D34" s="985"/>
      <c r="E34" s="760">
        <v>160000</v>
      </c>
      <c r="F34" s="761">
        <v>230000</v>
      </c>
      <c r="G34" s="758"/>
      <c r="H34" s="759"/>
      <c r="I34" s="111"/>
      <c r="J34" s="147"/>
      <c r="K34" s="147"/>
      <c r="L34" s="147"/>
    </row>
    <row r="35" spans="2:12" ht="25.5" customHeight="1">
      <c r="B35" s="855"/>
      <c r="C35" s="566" t="s">
        <v>112</v>
      </c>
      <c r="D35" s="985"/>
      <c r="E35" s="760">
        <v>210000</v>
      </c>
      <c r="F35" s="761">
        <v>295000</v>
      </c>
      <c r="G35" s="758"/>
      <c r="H35" s="759"/>
      <c r="I35" s="111"/>
      <c r="J35" s="147"/>
      <c r="K35" s="147"/>
      <c r="L35" s="147"/>
    </row>
    <row r="36" spans="2:12" ht="25.5" customHeight="1">
      <c r="B36" s="855"/>
      <c r="C36" s="566" t="s">
        <v>113</v>
      </c>
      <c r="D36" s="985"/>
      <c r="E36" s="760">
        <v>32000</v>
      </c>
      <c r="F36" s="761">
        <v>42000</v>
      </c>
      <c r="G36" s="758"/>
      <c r="H36" s="759"/>
      <c r="I36" s="111"/>
      <c r="J36" s="147"/>
      <c r="K36" s="147"/>
      <c r="L36" s="147"/>
    </row>
    <row r="37" spans="2:12" ht="25.5" customHeight="1">
      <c r="B37" s="855"/>
      <c r="C37" s="566" t="s">
        <v>114</v>
      </c>
      <c r="D37" s="985"/>
      <c r="E37" s="760">
        <v>27000</v>
      </c>
      <c r="F37" s="761">
        <v>32000</v>
      </c>
      <c r="G37" s="758"/>
      <c r="H37" s="759"/>
      <c r="I37" s="111"/>
      <c r="J37" s="147"/>
      <c r="K37" s="147"/>
      <c r="L37" s="147"/>
    </row>
    <row r="38" spans="2:12" ht="25.5" customHeight="1">
      <c r="B38" s="855"/>
      <c r="C38" s="566" t="s">
        <v>115</v>
      </c>
      <c r="D38" s="985"/>
      <c r="E38" s="760">
        <v>27000</v>
      </c>
      <c r="F38" s="761">
        <v>32000</v>
      </c>
      <c r="G38" s="758"/>
      <c r="H38" s="759"/>
      <c r="I38" s="111"/>
      <c r="J38" s="147"/>
      <c r="K38" s="147"/>
      <c r="L38" s="147"/>
    </row>
    <row r="39" spans="2:12" ht="25.5" customHeight="1">
      <c r="B39" s="855"/>
      <c r="C39" s="566" t="s">
        <v>116</v>
      </c>
      <c r="D39" s="985"/>
      <c r="E39" s="760">
        <v>27000</v>
      </c>
      <c r="F39" s="761">
        <v>32000</v>
      </c>
      <c r="G39" s="758"/>
      <c r="H39" s="759"/>
      <c r="I39" s="111"/>
      <c r="J39" s="147"/>
      <c r="K39" s="147"/>
      <c r="L39" s="147"/>
    </row>
    <row r="40" spans="2:12" ht="25.5" customHeight="1">
      <c r="B40" s="855"/>
      <c r="C40" s="566" t="s">
        <v>117</v>
      </c>
      <c r="D40" s="985"/>
      <c r="E40" s="760">
        <v>27000</v>
      </c>
      <c r="F40" s="761">
        <v>32000</v>
      </c>
      <c r="G40" s="758"/>
      <c r="H40" s="759"/>
      <c r="I40" s="111"/>
      <c r="J40" s="147"/>
      <c r="K40" s="147"/>
      <c r="L40" s="147"/>
    </row>
    <row r="41" spans="2:12" ht="25.5" customHeight="1">
      <c r="B41" s="855"/>
      <c r="C41" s="566" t="s">
        <v>118</v>
      </c>
      <c r="D41" s="985"/>
      <c r="E41" s="760">
        <v>35000</v>
      </c>
      <c r="F41" s="761">
        <v>48000</v>
      </c>
      <c r="G41" s="758"/>
      <c r="H41" s="759"/>
      <c r="I41" s="111"/>
      <c r="J41" s="147"/>
      <c r="K41" s="147"/>
      <c r="L41" s="147"/>
    </row>
    <row r="42" spans="2:12" ht="25.5" customHeight="1">
      <c r="B42" s="855"/>
      <c r="C42" s="566" t="s">
        <v>119</v>
      </c>
      <c r="D42" s="985"/>
      <c r="E42" s="760">
        <v>75000</v>
      </c>
      <c r="F42" s="761">
        <v>95000</v>
      </c>
      <c r="G42" s="758"/>
      <c r="H42" s="759"/>
      <c r="I42" s="111"/>
      <c r="J42" s="147"/>
      <c r="K42" s="147"/>
      <c r="L42" s="147"/>
    </row>
    <row r="43" spans="2:12" ht="25.5" customHeight="1">
      <c r="B43" s="855"/>
      <c r="C43" s="566" t="s">
        <v>120</v>
      </c>
      <c r="D43" s="985"/>
      <c r="E43" s="760">
        <v>21000</v>
      </c>
      <c r="F43" s="761">
        <v>27000</v>
      </c>
      <c r="G43" s="758"/>
      <c r="H43" s="759"/>
      <c r="I43" s="111"/>
      <c r="J43" s="147"/>
      <c r="K43" s="147"/>
      <c r="L43" s="147"/>
    </row>
    <row r="44" spans="2:12" ht="25.5" customHeight="1">
      <c r="B44" s="855"/>
      <c r="C44" s="566" t="s">
        <v>121</v>
      </c>
      <c r="D44" s="985"/>
      <c r="E44" s="760">
        <v>42000</v>
      </c>
      <c r="F44" s="761">
        <v>48000</v>
      </c>
      <c r="G44" s="758"/>
      <c r="H44" s="759"/>
      <c r="I44" s="111"/>
      <c r="J44" s="147"/>
      <c r="K44" s="147"/>
      <c r="L44" s="147"/>
    </row>
    <row r="45" spans="2:12" ht="25.5" customHeight="1">
      <c r="B45" s="855"/>
      <c r="C45" s="566" t="s">
        <v>122</v>
      </c>
      <c r="D45" s="985"/>
      <c r="E45" s="760">
        <v>85000</v>
      </c>
      <c r="F45" s="761">
        <v>105000</v>
      </c>
      <c r="G45" s="758"/>
      <c r="H45" s="759"/>
      <c r="I45" s="111"/>
      <c r="J45" s="147"/>
      <c r="K45" s="147"/>
      <c r="L45" s="147"/>
    </row>
    <row r="46" spans="2:12" ht="25.5" customHeight="1">
      <c r="B46" s="856"/>
      <c r="C46" s="566" t="s">
        <v>539</v>
      </c>
      <c r="D46" s="985"/>
      <c r="E46" s="760">
        <v>40000</v>
      </c>
      <c r="F46" s="761">
        <v>53000</v>
      </c>
      <c r="G46" s="758"/>
      <c r="H46" s="759"/>
      <c r="I46" s="111"/>
      <c r="J46" s="147"/>
      <c r="K46" s="147"/>
      <c r="L46" s="147"/>
    </row>
    <row r="47" spans="2:12" ht="25.5" customHeight="1">
      <c r="B47" s="739"/>
      <c r="C47" s="567" t="s">
        <v>538</v>
      </c>
      <c r="D47" s="986"/>
      <c r="E47" s="777">
        <v>40000</v>
      </c>
      <c r="F47" s="778">
        <v>53000</v>
      </c>
      <c r="G47" s="759"/>
      <c r="H47" s="759"/>
      <c r="I47" s="111"/>
      <c r="J47" s="147"/>
      <c r="K47" s="147"/>
      <c r="L47" s="147"/>
    </row>
    <row r="48" spans="2:12" ht="12.75" customHeight="1">
      <c r="B48" s="108"/>
      <c r="C48" s="110"/>
      <c r="D48" s="109"/>
      <c r="E48" s="109"/>
      <c r="F48" s="109"/>
      <c r="G48" s="109"/>
      <c r="H48" s="111"/>
      <c r="I48" s="147"/>
      <c r="J48" s="147"/>
      <c r="K48" s="147"/>
    </row>
    <row r="49" spans="2:15" ht="12.75" customHeight="1">
      <c r="C49" s="70"/>
      <c r="D49" s="71"/>
      <c r="E49" s="71"/>
      <c r="F49" s="71"/>
      <c r="G49" s="71"/>
      <c r="H49" s="147"/>
      <c r="I49" s="147"/>
      <c r="J49" s="147"/>
    </row>
    <row r="58" spans="2:15" ht="12.75" customHeight="1">
      <c r="B58" s="343"/>
      <c r="C58" s="106"/>
      <c r="D58" s="410"/>
      <c r="E58" s="107"/>
      <c r="F58" s="107"/>
      <c r="G58" s="107"/>
      <c r="H58" s="147"/>
      <c r="I58" s="147"/>
      <c r="J58" s="147"/>
    </row>
    <row r="59" spans="2:15">
      <c r="C59" s="13"/>
      <c r="D59" s="13"/>
      <c r="E59" s="13"/>
      <c r="F59" s="13"/>
      <c r="G59" s="13"/>
      <c r="H59" s="13"/>
      <c r="I59" s="13"/>
      <c r="J59" s="13"/>
      <c r="K59" s="13"/>
      <c r="L59" s="13"/>
      <c r="M59" s="13"/>
      <c r="N59" s="13"/>
      <c r="O59" s="3"/>
    </row>
    <row r="60" spans="2:15" ht="12.75" customHeight="1"/>
    <row r="62" spans="2:15">
      <c r="C62" s="68"/>
      <c r="D62" s="68"/>
      <c r="E62" s="68"/>
      <c r="F62" s="68"/>
    </row>
    <row r="64" spans="2:15" ht="12.75" customHeight="1">
      <c r="C64" s="69"/>
      <c r="D64" s="987"/>
      <c r="E64" s="409"/>
      <c r="F64" s="68"/>
    </row>
    <row r="65" spans="3:8" ht="12.75" customHeight="1">
      <c r="C65" s="69"/>
      <c r="D65" s="987"/>
      <c r="E65" s="409"/>
      <c r="F65" s="68"/>
    </row>
    <row r="66" spans="3:8" ht="12.75" customHeight="1">
      <c r="C66" s="69"/>
      <c r="D66" s="987"/>
      <c r="E66" s="409"/>
      <c r="F66" s="68"/>
    </row>
    <row r="67" spans="3:8" ht="12.75" customHeight="1">
      <c r="C67" s="69"/>
      <c r="D67" s="987"/>
      <c r="E67" s="409"/>
      <c r="F67" s="68"/>
      <c r="H67" s="408"/>
    </row>
    <row r="68" spans="3:8">
      <c r="C68" s="69"/>
      <c r="D68" s="409"/>
      <c r="E68" s="409"/>
      <c r="F68" s="68"/>
      <c r="H68" s="408"/>
    </row>
    <row r="69" spans="3:8">
      <c r="H69" s="408"/>
    </row>
    <row r="70" spans="3:8">
      <c r="H70" s="408"/>
    </row>
  </sheetData>
  <mergeCells count="28">
    <mergeCell ref="G31:H31"/>
    <mergeCell ref="G32:H32"/>
    <mergeCell ref="C10:C11"/>
    <mergeCell ref="C17:C18"/>
    <mergeCell ref="D17:D18"/>
    <mergeCell ref="D31:D32"/>
    <mergeCell ref="E31:F31"/>
    <mergeCell ref="C31:C32"/>
    <mergeCell ref="E13:F13"/>
    <mergeCell ref="E1:F3"/>
    <mergeCell ref="D1:D3"/>
    <mergeCell ref="D64:D67"/>
    <mergeCell ref="E17:F17"/>
    <mergeCell ref="E22:F22"/>
    <mergeCell ref="B7:B27"/>
    <mergeCell ref="C7:C8"/>
    <mergeCell ref="D7:D8"/>
    <mergeCell ref="E7:F7"/>
    <mergeCell ref="B31:B46"/>
    <mergeCell ref="D33:D47"/>
    <mergeCell ref="K19:L19"/>
    <mergeCell ref="C13:C14"/>
    <mergeCell ref="D13:D14"/>
    <mergeCell ref="K24:L24"/>
    <mergeCell ref="C22:C23"/>
    <mergeCell ref="D22:D23"/>
    <mergeCell ref="I24:J24"/>
    <mergeCell ref="I19:J19"/>
  </mergeCells>
  <hyperlinks>
    <hyperlink ref="D1:D3" location="'Kampanie zeroemisyjne WP'!A1" display="'Kampanie zeroemisyjne WP'!A1" xr:uid="{340A0531-BAE9-46E9-B8D7-2111D55769B2}"/>
  </hyperlinks>
  <pageMargins left="0.7" right="0.7" top="0.75" bottom="0.75" header="0.3" footer="0.3"/>
  <pageSetup paperSize="256" scale="55" fitToHeight="0"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8">
    <tabColor rgb="FFE7E6E6"/>
    <pageSetUpPr fitToPage="1"/>
  </sheetPr>
  <dimension ref="B1:AE175"/>
  <sheetViews>
    <sheetView zoomScaleNormal="100" workbookViewId="0">
      <pane ySplit="4" topLeftCell="A5" activePane="bottomLeft" state="frozen"/>
      <selection pane="bottomLeft" activeCell="A7" sqref="A7"/>
    </sheetView>
  </sheetViews>
  <sheetFormatPr defaultColWidth="11.42578125" defaultRowHeight="12.75" outlineLevelRow="1"/>
  <cols>
    <col min="1" max="1" width="2.85546875" style="2" customWidth="1"/>
    <col min="2" max="2" width="5.7109375" style="2" customWidth="1"/>
    <col min="3" max="3" width="31.42578125" style="2" customWidth="1"/>
    <col min="4" max="4" width="34.28515625" style="2" customWidth="1"/>
    <col min="5" max="5" width="14.28515625" style="2" customWidth="1"/>
    <col min="6" max="6" width="4.28515625" style="2" customWidth="1"/>
    <col min="7" max="22" width="11.7109375" style="2" customWidth="1"/>
    <col min="23" max="24" width="10.85546875" style="2" customWidth="1"/>
    <col min="25" max="25" width="10" style="2" customWidth="1"/>
    <col min="26" max="26" width="9.140625" style="2" customWidth="1"/>
    <col min="27" max="28" width="9" style="2" customWidth="1"/>
    <col min="29" max="29" width="9.140625" style="2" customWidth="1"/>
    <col min="30" max="30" width="8.5703125" style="2" customWidth="1"/>
    <col min="31" max="31" width="10.5703125" style="2" customWidth="1"/>
    <col min="32" max="34" width="7.85546875" style="2" customWidth="1"/>
    <col min="35" max="16384" width="11.42578125" style="2"/>
  </cols>
  <sheetData>
    <row r="1" spans="2:31" ht="12.75" customHeight="1">
      <c r="G1" s="798" t="s">
        <v>542</v>
      </c>
      <c r="H1" s="798"/>
      <c r="I1" s="798"/>
      <c r="J1" s="798"/>
      <c r="K1" s="135"/>
      <c r="L1" s="135"/>
      <c r="M1" s="135"/>
      <c r="O1" s="135"/>
      <c r="Q1" s="799" t="str">
        <f>IF('Język - Language'!$B$30="Polski",CONCATENATE("Cennik Reklamowy Wirtualna Polska Media S.A. - obowiązuje od 1.01.2023 r.",CHAR(10),"W celu zasięgnięcia dodatkowych informacji prosimy o kontakt z Biurem Reklamy,",CHAR(10),"reklama@grupawp.pl, tel. (+48) 22 57 63 900; fax (+48) 22 57 63 959"),CONCATENATE("Advertising price list of Wirtualna Polska Media S.A. - valid from January 1, 2023",CHAR(10),"For further information please contact the Advertising Office of WP,",CHAR(10),"reklama@grupawp.pl, phone (+48) 22 57 63 900; fax (+48) 22 57 63 959"))</f>
        <v>Cennik Reklamowy Wirtualna Polska Media S.A. - obowiązuje od 1.01.2023 r.
W celu zasięgnięcia dodatkowych informacji prosimy o kontakt z Biurem Reklamy,
reklama@grupawp.pl, tel. (+48) 22 57 63 900; fax (+48) 22 57 63 959</v>
      </c>
      <c r="R1" s="799"/>
      <c r="S1" s="799"/>
      <c r="T1" s="799"/>
      <c r="U1" s="799"/>
      <c r="V1" s="799"/>
      <c r="W1" s="135"/>
      <c r="X1" s="135"/>
      <c r="Y1" s="135"/>
      <c r="Z1" s="135"/>
      <c r="AA1" s="135"/>
      <c r="AB1" s="135"/>
      <c r="AC1" s="135"/>
      <c r="AD1" s="135"/>
      <c r="AE1" s="135"/>
    </row>
    <row r="2" spans="2:31" ht="12.75" customHeight="1">
      <c r="G2" s="798"/>
      <c r="H2" s="798"/>
      <c r="I2" s="798"/>
      <c r="J2" s="798"/>
      <c r="K2" s="135"/>
      <c r="L2" s="135"/>
      <c r="M2" s="135"/>
      <c r="N2" s="135"/>
      <c r="O2" s="135"/>
      <c r="P2" s="135"/>
      <c r="Q2" s="799"/>
      <c r="R2" s="799"/>
      <c r="S2" s="799"/>
      <c r="T2" s="799"/>
      <c r="U2" s="799"/>
      <c r="V2" s="799"/>
      <c r="W2" s="135"/>
      <c r="X2" s="135"/>
      <c r="Y2" s="135"/>
      <c r="Z2" s="135"/>
      <c r="AA2" s="135"/>
      <c r="AB2" s="135"/>
      <c r="AC2" s="135"/>
      <c r="AD2" s="135"/>
      <c r="AE2" s="135"/>
    </row>
    <row r="3" spans="2:31" ht="12.75" customHeight="1">
      <c r="G3" s="798"/>
      <c r="H3" s="798"/>
      <c r="I3" s="798"/>
      <c r="J3" s="798"/>
      <c r="K3" s="135"/>
      <c r="L3" s="135"/>
      <c r="M3" s="135"/>
      <c r="N3" s="135"/>
      <c r="O3" s="135"/>
      <c r="P3" s="135"/>
      <c r="Q3" s="799"/>
      <c r="R3" s="799"/>
      <c r="S3" s="799"/>
      <c r="T3" s="799"/>
      <c r="U3" s="799"/>
      <c r="V3" s="799"/>
      <c r="W3" s="135"/>
      <c r="X3" s="135"/>
      <c r="Y3" s="135"/>
      <c r="Z3" s="135"/>
      <c r="AA3" s="135"/>
      <c r="AB3" s="135"/>
      <c r="AC3" s="135"/>
      <c r="AD3" s="135"/>
      <c r="AE3" s="135"/>
    </row>
    <row r="4" spans="2:31" s="29" customFormat="1" ht="12.75" customHeight="1">
      <c r="C4" s="520" t="str">
        <f>IF('Język - Language'!$B$30="Polski","            Pakiety tematyczne, zasięgowe oraz reklama na serwisie","             Packages")</f>
        <v xml:space="preserve">            Pakiety tematyczne, zasięgowe oraz reklama na serwisie</v>
      </c>
      <c r="D4" s="30"/>
      <c r="V4" s="134" t="str">
        <f>IF('Język - Language'!$B$30="Polski","PL","EN")</f>
        <v>PL</v>
      </c>
    </row>
    <row r="5" spans="2:31" ht="12.75" customHeight="1"/>
    <row r="6" spans="2:31" ht="12.75" customHeight="1">
      <c r="B6" s="11"/>
    </row>
    <row r="7" spans="2:31" ht="12.75" customHeight="1">
      <c r="B7"/>
      <c r="C7" s="97" t="str">
        <f>IF('Język - Language'!$B$30="Polski","STANDARDOWE FORMATY REKLAMOWE","STANDARD AD FORMATS")</f>
        <v>STANDARDOWE FORMATY REKLAMOWE</v>
      </c>
    </row>
    <row r="8" spans="2:31" ht="25.5" customHeight="1">
      <c r="C8" s="1038" t="str">
        <f>IF('Język - Language'!$B$30="Polski","KATEGORIE","CATEGORIES")</f>
        <v>KATEGORIE</v>
      </c>
      <c r="D8" s="1047" t="str">
        <f>IF('Język - Language'!$B$30="Polski","MIEJSCE EMISJI","PLACE OF EMISSION")</f>
        <v>MIEJSCE EMISJI</v>
      </c>
      <c r="E8" s="1048"/>
      <c r="F8" s="1052" t="s">
        <v>124</v>
      </c>
      <c r="G8" s="1034" t="s">
        <v>125</v>
      </c>
      <c r="H8" s="1034"/>
      <c r="I8" s="1034" t="s">
        <v>126</v>
      </c>
      <c r="J8" s="1034"/>
      <c r="K8" s="1034" t="s">
        <v>127</v>
      </c>
      <c r="L8" s="1050"/>
      <c r="M8" s="1055" t="s">
        <v>128</v>
      </c>
      <c r="N8" s="1050"/>
      <c r="O8" s="1026" t="s">
        <v>129</v>
      </c>
      <c r="P8" s="1025"/>
      <c r="Q8" s="1026" t="s">
        <v>130</v>
      </c>
      <c r="R8" s="1027"/>
      <c r="S8" s="859" t="s">
        <v>131</v>
      </c>
      <c r="T8" s="860"/>
      <c r="U8" s="1057" t="s">
        <v>132</v>
      </c>
      <c r="V8" s="860"/>
    </row>
    <row r="9" spans="2:31" ht="25.5" customHeight="1">
      <c r="C9" s="967"/>
      <c r="D9" s="859"/>
      <c r="E9" s="1049"/>
      <c r="F9" s="1053"/>
      <c r="G9" s="1027"/>
      <c r="H9" s="1027"/>
      <c r="I9" s="1027"/>
      <c r="J9" s="1027"/>
      <c r="K9" s="1027" t="s">
        <v>133</v>
      </c>
      <c r="L9" s="1027"/>
      <c r="M9" s="1026"/>
      <c r="N9" s="1025"/>
      <c r="O9" s="1026" t="s">
        <v>134</v>
      </c>
      <c r="P9" s="1025"/>
      <c r="Q9" s="1026"/>
      <c r="R9" s="1027"/>
      <c r="S9" s="859"/>
      <c r="T9" s="860"/>
      <c r="U9" s="1057"/>
      <c r="V9" s="860"/>
    </row>
    <row r="10" spans="2:31" ht="25.5" customHeight="1">
      <c r="C10" s="967"/>
      <c r="D10" s="859"/>
      <c r="E10" s="1049"/>
      <c r="F10" s="1054" t="s">
        <v>135</v>
      </c>
      <c r="G10" s="1040"/>
      <c r="H10" s="1040"/>
      <c r="I10" s="1056" t="str">
        <f>IF('Język - Language'!$B$30="Polski","BANNER SKALOWALNY, RECTANGLE MOBILNY⁴","ADJUSTED BANNER, MOBILE RECTANGLE⁴")</f>
        <v>BANNER SKALOWALNY, RECTANGLE MOBILNY⁴</v>
      </c>
      <c r="J10" s="1056"/>
      <c r="K10" s="1056"/>
      <c r="L10" s="1056"/>
      <c r="M10" s="1056" t="str">
        <f>IF('Język - Language'!$B$30="Polski","BANNER SKALOWALNY XL / RECTANGLE GÓRNY MOBILNY / HALFPAGE MOBILNY / STICKY ADS⁷","ADJUSTED BANNER XL / UPPER MOBILE RECTANGLE / MOBILE HALFPAGE / STICKY ADS⁷")</f>
        <v>BANNER SKALOWALNY XL / RECTANGLE GÓRNY MOBILNY / HALFPAGE MOBILNY / STICKY ADS⁷</v>
      </c>
      <c r="N10" s="1056"/>
      <c r="O10" s="1056" t="s">
        <v>136</v>
      </c>
      <c r="P10" s="1056"/>
      <c r="Q10" s="633"/>
      <c r="R10" s="633"/>
      <c r="S10" s="633"/>
      <c r="T10" s="634"/>
      <c r="U10" s="634"/>
      <c r="V10" s="635"/>
    </row>
    <row r="11" spans="2:31" ht="25.5" customHeight="1">
      <c r="C11" s="967"/>
      <c r="D11" s="859"/>
      <c r="E11" s="1049"/>
      <c r="F11" s="1054"/>
      <c r="G11" s="1040"/>
      <c r="H11" s="1040"/>
      <c r="I11" s="1056"/>
      <c r="J11" s="1056"/>
      <c r="K11" s="1056"/>
      <c r="L11" s="1056"/>
      <c r="M11" s="1056"/>
      <c r="N11" s="1056"/>
      <c r="O11" s="1056"/>
      <c r="P11" s="1056"/>
      <c r="Q11" s="633"/>
      <c r="R11" s="633"/>
      <c r="S11" s="633"/>
      <c r="T11" s="634"/>
      <c r="U11" s="634"/>
      <c r="V11" s="635"/>
    </row>
    <row r="12" spans="2:31" ht="25.5" customHeight="1">
      <c r="C12" s="967"/>
      <c r="D12" s="859"/>
      <c r="E12" s="1049"/>
      <c r="F12" s="540"/>
      <c r="G12" s="1027" t="str">
        <f>IF('Język - Language'!$B$30="Polski","rozliczenie za widzialne odsłony wg standardu IAB, po statystykach wewnętrznych WPM¹","settlement for visible ad views according to the IAB standard, based on internal WPM statistics¹")</f>
        <v>rozliczenie za widzialne odsłony wg standardu IAB, po statystykach wewnętrznych WPM¹</v>
      </c>
      <c r="H12" s="1027"/>
      <c r="I12" s="1027"/>
      <c r="J12" s="1027"/>
      <c r="K12" s="1027"/>
      <c r="L12" s="1027"/>
      <c r="M12" s="1027"/>
      <c r="N12" s="1027"/>
      <c r="O12" s="1027"/>
      <c r="P12" s="1025"/>
      <c r="Q12" s="1057" t="s">
        <v>137</v>
      </c>
      <c r="R12" s="859"/>
      <c r="S12" s="859"/>
      <c r="T12" s="859"/>
      <c r="U12" s="859"/>
      <c r="V12" s="860"/>
    </row>
    <row r="13" spans="2:31" ht="12.75" customHeight="1">
      <c r="C13" s="967"/>
      <c r="D13" s="859"/>
      <c r="E13" s="1049"/>
      <c r="F13" s="540"/>
      <c r="G13" s="1027" t="s">
        <v>138</v>
      </c>
      <c r="H13" s="1029"/>
      <c r="I13" s="1028" t="s">
        <v>138</v>
      </c>
      <c r="J13" s="1029"/>
      <c r="K13" s="1028" t="s">
        <v>138</v>
      </c>
      <c r="L13" s="1029"/>
      <c r="M13" s="1028" t="s">
        <v>138</v>
      </c>
      <c r="N13" s="1029"/>
      <c r="O13" s="1024" t="s">
        <v>138</v>
      </c>
      <c r="P13" s="1025"/>
      <c r="Q13" s="1024" t="s">
        <v>138</v>
      </c>
      <c r="R13" s="1025"/>
      <c r="S13" s="1024" t="s">
        <v>138</v>
      </c>
      <c r="T13" s="1025"/>
      <c r="U13" s="1057" t="s">
        <v>138</v>
      </c>
      <c r="V13" s="860"/>
    </row>
    <row r="14" spans="2:31" ht="12.75" customHeight="1">
      <c r="C14" s="1039"/>
      <c r="D14" s="859"/>
      <c r="E14" s="1049"/>
      <c r="F14" s="636"/>
      <c r="G14" s="538" t="s">
        <v>139</v>
      </c>
      <c r="H14" s="569" t="s">
        <v>140</v>
      </c>
      <c r="I14" s="538" t="s">
        <v>139</v>
      </c>
      <c r="J14" s="569" t="s">
        <v>140</v>
      </c>
      <c r="K14" s="538" t="s">
        <v>139</v>
      </c>
      <c r="L14" s="569" t="s">
        <v>140</v>
      </c>
      <c r="M14" s="538" t="s">
        <v>139</v>
      </c>
      <c r="N14" s="569" t="s">
        <v>140</v>
      </c>
      <c r="O14" s="538" t="s">
        <v>139</v>
      </c>
      <c r="P14" s="568" t="s">
        <v>140</v>
      </c>
      <c r="Q14" s="538" t="s">
        <v>139</v>
      </c>
      <c r="R14" s="568" t="s">
        <v>140</v>
      </c>
      <c r="S14" s="538" t="s">
        <v>139</v>
      </c>
      <c r="T14" s="568" t="s">
        <v>140</v>
      </c>
      <c r="U14" s="538" t="s">
        <v>139</v>
      </c>
      <c r="V14" s="568" t="s">
        <v>140</v>
      </c>
    </row>
    <row r="15" spans="2:31" ht="36" customHeight="1">
      <c r="B15" s="855" t="str">
        <f>IF('Język - Language'!$B$30="Polski","EMISJA ODSŁONOWA","CPM EMISSION")</f>
        <v>EMISJA ODSŁONOWA</v>
      </c>
      <c r="C15" s="712" t="str">
        <f>IF('Język - Language'!$B$30="Polski","WPM ZASIĘG","WPM REACH")</f>
        <v>WPM ZASIĘG</v>
      </c>
      <c r="D15" s="1030" t="str">
        <f>IF('Język - Language'!$B$30="Polski","WPM Zasięg (bez stron głównych o2 i WP oraz bez serwisów pocztowych)","WPM Reach (without o2 HP, WP HP and e-mail services)")</f>
        <v>WPM Zasięg (bez stron głównych o2 i WP oraz bez serwisów pocztowych)</v>
      </c>
      <c r="E15" s="1031"/>
      <c r="F15" s="298"/>
      <c r="G15" s="373">
        <v>33</v>
      </c>
      <c r="H15" s="214">
        <v>39.6</v>
      </c>
      <c r="I15" s="205">
        <v>49.500000000000007</v>
      </c>
      <c r="J15" s="225">
        <v>60.500000000000007</v>
      </c>
      <c r="K15" s="373">
        <v>60.500000000000007</v>
      </c>
      <c r="L15" s="225">
        <v>77</v>
      </c>
      <c r="M15" s="399">
        <v>77</v>
      </c>
      <c r="N15" s="491">
        <v>93.500000000000014</v>
      </c>
      <c r="O15" s="399" t="s">
        <v>141</v>
      </c>
      <c r="P15" s="491" t="s">
        <v>141</v>
      </c>
      <c r="Q15" s="238">
        <v>23.1</v>
      </c>
      <c r="R15" s="246" t="s">
        <v>141</v>
      </c>
      <c r="S15" s="238">
        <v>29.700000000000003</v>
      </c>
      <c r="T15" s="254" t="s">
        <v>141</v>
      </c>
      <c r="U15" s="238">
        <v>82.5</v>
      </c>
      <c r="V15" s="346">
        <v>99.000000000000014</v>
      </c>
    </row>
    <row r="16" spans="2:31" ht="36" customHeight="1">
      <c r="B16" s="855"/>
      <c r="C16" s="712" t="s">
        <v>142</v>
      </c>
      <c r="D16" s="1032" t="s">
        <v>143</v>
      </c>
      <c r="E16" s="1033"/>
      <c r="F16" s="324"/>
      <c r="G16" s="620">
        <v>49.500000000000007</v>
      </c>
      <c r="H16" s="215">
        <v>60.500000000000007</v>
      </c>
      <c r="I16" s="196">
        <v>77</v>
      </c>
      <c r="J16" s="215">
        <v>93.500000000000014</v>
      </c>
      <c r="K16" s="196">
        <v>99.000000000000014</v>
      </c>
      <c r="L16" s="215">
        <v>132</v>
      </c>
      <c r="M16" s="399" t="s">
        <v>141</v>
      </c>
      <c r="N16" s="491" t="s">
        <v>141</v>
      </c>
      <c r="O16" s="399" t="s">
        <v>141</v>
      </c>
      <c r="P16" s="491" t="s">
        <v>141</v>
      </c>
      <c r="Q16" s="237" t="s">
        <v>141</v>
      </c>
      <c r="R16" s="246" t="s">
        <v>141</v>
      </c>
      <c r="S16" s="495" t="s">
        <v>141</v>
      </c>
      <c r="T16" s="254" t="s">
        <v>141</v>
      </c>
      <c r="U16" s="495" t="s">
        <v>141</v>
      </c>
      <c r="V16" s="346" t="s">
        <v>141</v>
      </c>
    </row>
    <row r="17" spans="2:22" ht="36" customHeight="1">
      <c r="B17" s="855"/>
      <c r="C17" s="712" t="s">
        <v>144</v>
      </c>
      <c r="D17" s="1032" t="str">
        <f>IF('Język - Language'!$B$30="Polski","WP SG, o2 SG","WP HP, o2 HP")</f>
        <v>WP SG, o2 SG</v>
      </c>
      <c r="E17" s="1033"/>
      <c r="F17" s="324"/>
      <c r="G17" s="620" t="s">
        <v>141</v>
      </c>
      <c r="H17" s="345" t="s">
        <v>141</v>
      </c>
      <c r="I17" s="196">
        <v>88</v>
      </c>
      <c r="J17" s="215">
        <v>105.60000000000001</v>
      </c>
      <c r="K17" s="196">
        <v>115.50000000000001</v>
      </c>
      <c r="L17" s="215">
        <v>138.60000000000002</v>
      </c>
      <c r="M17" s="201">
        <v>132</v>
      </c>
      <c r="N17" s="217">
        <v>159.5</v>
      </c>
      <c r="O17" s="208" t="s">
        <v>141</v>
      </c>
      <c r="P17" s="209" t="s">
        <v>141</v>
      </c>
      <c r="Q17" s="240" t="s">
        <v>141</v>
      </c>
      <c r="R17" s="246" t="s">
        <v>141</v>
      </c>
      <c r="S17" s="241" t="s">
        <v>141</v>
      </c>
      <c r="T17" s="254" t="s">
        <v>141</v>
      </c>
      <c r="U17" s="241" t="s">
        <v>141</v>
      </c>
      <c r="V17" s="254" t="s">
        <v>141</v>
      </c>
    </row>
    <row r="18" spans="2:22" ht="36" customHeight="1">
      <c r="B18" s="855"/>
      <c r="C18" s="712" t="s">
        <v>145</v>
      </c>
      <c r="D18" s="1032" t="s">
        <v>146</v>
      </c>
      <c r="E18" s="1033"/>
      <c r="F18" s="437"/>
      <c r="G18" s="438">
        <v>38.5</v>
      </c>
      <c r="H18" s="412">
        <v>46.2</v>
      </c>
      <c r="I18" s="411">
        <v>44</v>
      </c>
      <c r="J18" s="412">
        <v>52.800000000000004</v>
      </c>
      <c r="K18" s="411">
        <v>55.000000000000007</v>
      </c>
      <c r="L18" s="412">
        <v>66</v>
      </c>
      <c r="M18" s="413" t="s">
        <v>141</v>
      </c>
      <c r="N18" s="414" t="s">
        <v>141</v>
      </c>
      <c r="O18" s="415" t="s">
        <v>141</v>
      </c>
      <c r="P18" s="416" t="s">
        <v>141</v>
      </c>
      <c r="Q18" s="417" t="s">
        <v>141</v>
      </c>
      <c r="R18" s="249" t="s">
        <v>141</v>
      </c>
      <c r="S18" s="484" t="s">
        <v>141</v>
      </c>
      <c r="T18" s="265" t="s">
        <v>141</v>
      </c>
      <c r="U18" s="485" t="s">
        <v>141</v>
      </c>
      <c r="V18" s="265" t="s">
        <v>141</v>
      </c>
    </row>
    <row r="19" spans="2:22" ht="12.75" customHeight="1" outlineLevel="1">
      <c r="B19" s="855"/>
      <c r="C19" s="1009" t="str">
        <f>IF('Język - Language'!$B$30="Polski","BIZNES","BUSINESS")</f>
        <v>BIZNES</v>
      </c>
      <c r="D19" s="179" t="s">
        <v>110</v>
      </c>
      <c r="E19" s="180"/>
      <c r="F19" s="179"/>
      <c r="G19" s="243">
        <v>132</v>
      </c>
      <c r="H19" s="219">
        <v>158.4</v>
      </c>
      <c r="I19" s="198">
        <v>198.00000000000003</v>
      </c>
      <c r="J19" s="219">
        <v>237.60000000000002</v>
      </c>
      <c r="K19" s="198">
        <v>253.00000000000003</v>
      </c>
      <c r="L19" s="219">
        <v>303.60000000000002</v>
      </c>
      <c r="M19" s="198">
        <v>297</v>
      </c>
      <c r="N19" s="219">
        <v>356.40000000000003</v>
      </c>
      <c r="O19" s="198">
        <v>341</v>
      </c>
      <c r="P19" s="219">
        <v>409.20000000000005</v>
      </c>
      <c r="Q19" s="198">
        <v>99.000000000000014</v>
      </c>
      <c r="R19" s="250" t="s">
        <v>141</v>
      </c>
      <c r="S19" s="243">
        <v>132</v>
      </c>
      <c r="T19" s="258" t="s">
        <v>141</v>
      </c>
      <c r="U19" s="243" t="s">
        <v>141</v>
      </c>
      <c r="V19" s="258" t="s">
        <v>141</v>
      </c>
    </row>
    <row r="20" spans="2:22" ht="12.75" customHeight="1" outlineLevel="1">
      <c r="B20" s="855"/>
      <c r="C20" s="1009"/>
      <c r="D20" s="183" t="s">
        <v>147</v>
      </c>
      <c r="E20" s="184"/>
      <c r="F20" s="183"/>
      <c r="G20" s="244">
        <v>66</v>
      </c>
      <c r="H20" s="224">
        <v>79.2</v>
      </c>
      <c r="I20" s="210">
        <v>99.000000000000014</v>
      </c>
      <c r="J20" s="224">
        <v>118.80000000000001</v>
      </c>
      <c r="K20" s="210">
        <v>132</v>
      </c>
      <c r="L20" s="224">
        <v>158.4</v>
      </c>
      <c r="M20" s="210">
        <v>154</v>
      </c>
      <c r="N20" s="224">
        <v>184.8</v>
      </c>
      <c r="O20" s="210">
        <v>176</v>
      </c>
      <c r="P20" s="224">
        <v>211.20000000000002</v>
      </c>
      <c r="Q20" s="210">
        <v>44</v>
      </c>
      <c r="R20" s="251" t="s">
        <v>141</v>
      </c>
      <c r="S20" s="244">
        <v>66</v>
      </c>
      <c r="T20" s="259" t="s">
        <v>141</v>
      </c>
      <c r="U20" s="244" t="s">
        <v>141</v>
      </c>
      <c r="V20" s="259" t="s">
        <v>141</v>
      </c>
    </row>
    <row r="21" spans="2:22" ht="12.75" customHeight="1" outlineLevel="1">
      <c r="B21" s="855"/>
      <c r="C21" s="1009"/>
      <c r="D21" s="347" t="s">
        <v>148</v>
      </c>
      <c r="E21" s="348"/>
      <c r="F21" s="644"/>
      <c r="G21" s="245">
        <v>132</v>
      </c>
      <c r="H21" s="220">
        <v>158.4</v>
      </c>
      <c r="I21" s="212">
        <v>198.00000000000003</v>
      </c>
      <c r="J21" s="220">
        <v>237.60000000000002</v>
      </c>
      <c r="K21" s="212">
        <v>253.00000000000003</v>
      </c>
      <c r="L21" s="220">
        <v>303.60000000000002</v>
      </c>
      <c r="M21" s="212">
        <v>297</v>
      </c>
      <c r="N21" s="220">
        <v>356.40000000000003</v>
      </c>
      <c r="O21" s="212">
        <v>341</v>
      </c>
      <c r="P21" s="220">
        <v>409.20000000000005</v>
      </c>
      <c r="Q21" s="212">
        <v>99.000000000000014</v>
      </c>
      <c r="R21" s="248" t="s">
        <v>141</v>
      </c>
      <c r="S21" s="245">
        <v>132</v>
      </c>
      <c r="T21" s="256" t="s">
        <v>141</v>
      </c>
      <c r="U21" s="245" t="s">
        <v>141</v>
      </c>
      <c r="V21" s="256" t="s">
        <v>141</v>
      </c>
    </row>
    <row r="22" spans="2:22" ht="36" customHeight="1">
      <c r="B22" s="855"/>
      <c r="C22" s="1010"/>
      <c r="D22" s="1030" t="str">
        <f>D19&amp;", "&amp;D20&amp;" , "&amp;D21</f>
        <v>WP Finanse, Praca.money.pl , Portal Money.pl</v>
      </c>
      <c r="E22" s="1031"/>
      <c r="F22" s="648"/>
      <c r="G22" s="620">
        <v>99.000000000000014</v>
      </c>
      <c r="H22" s="215">
        <v>118.80000000000001</v>
      </c>
      <c r="I22" s="196">
        <v>148.5</v>
      </c>
      <c r="J22" s="215">
        <v>178.20000000000002</v>
      </c>
      <c r="K22" s="196">
        <v>198.00000000000003</v>
      </c>
      <c r="L22" s="215">
        <v>237.60000000000002</v>
      </c>
      <c r="M22" s="201">
        <v>220.00000000000003</v>
      </c>
      <c r="N22" s="216">
        <v>264</v>
      </c>
      <c r="O22" s="201">
        <v>258.5</v>
      </c>
      <c r="P22" s="216">
        <v>310.20000000000005</v>
      </c>
      <c r="Q22" s="207">
        <v>74.800000000000011</v>
      </c>
      <c r="R22" s="253" t="s">
        <v>141</v>
      </c>
      <c r="S22" s="237">
        <v>99.000000000000014</v>
      </c>
      <c r="T22" s="257" t="s">
        <v>141</v>
      </c>
      <c r="U22" s="237" t="s">
        <v>141</v>
      </c>
      <c r="V22" s="257" t="s">
        <v>141</v>
      </c>
    </row>
    <row r="23" spans="2:22" ht="12.75" customHeight="1" outlineLevel="1">
      <c r="B23" s="855"/>
      <c r="C23" s="1037" t="str">
        <f>IF('Język - Language'!$B$30="Polski","INFO I SPORT","INFO AND SPORT")</f>
        <v>INFO I SPORT</v>
      </c>
      <c r="D23" s="179" t="s">
        <v>105</v>
      </c>
      <c r="E23" s="180"/>
      <c r="F23" s="645"/>
      <c r="G23" s="637">
        <v>77</v>
      </c>
      <c r="H23" s="221">
        <v>92.4</v>
      </c>
      <c r="I23" s="200">
        <v>110.00000000000001</v>
      </c>
      <c r="J23" s="221">
        <v>132</v>
      </c>
      <c r="K23" s="200">
        <v>154</v>
      </c>
      <c r="L23" s="221">
        <v>184.8</v>
      </c>
      <c r="M23" s="200">
        <v>176</v>
      </c>
      <c r="N23" s="221">
        <v>211.20000000000002</v>
      </c>
      <c r="O23" s="200">
        <v>209.00000000000003</v>
      </c>
      <c r="P23" s="221">
        <v>250.8</v>
      </c>
      <c r="Q23" s="198">
        <v>55.000000000000007</v>
      </c>
      <c r="R23" s="250" t="s">
        <v>141</v>
      </c>
      <c r="S23" s="243">
        <v>77</v>
      </c>
      <c r="T23" s="258" t="s">
        <v>141</v>
      </c>
      <c r="U23" s="243" t="s">
        <v>141</v>
      </c>
      <c r="V23" s="258" t="s">
        <v>141</v>
      </c>
    </row>
    <row r="24" spans="2:22" ht="12.75" customHeight="1" outlineLevel="1">
      <c r="B24" s="855"/>
      <c r="C24" s="1009"/>
      <c r="D24" s="183" t="s">
        <v>149</v>
      </c>
      <c r="E24" s="184"/>
      <c r="F24" s="646"/>
      <c r="G24" s="638">
        <v>77</v>
      </c>
      <c r="H24" s="222">
        <v>92.4</v>
      </c>
      <c r="I24" s="202">
        <v>110.00000000000001</v>
      </c>
      <c r="J24" s="222">
        <v>132</v>
      </c>
      <c r="K24" s="202">
        <v>154</v>
      </c>
      <c r="L24" s="222">
        <v>184.8</v>
      </c>
      <c r="M24" s="202">
        <v>176</v>
      </c>
      <c r="N24" s="222">
        <v>211.20000000000002</v>
      </c>
      <c r="O24" s="202">
        <v>209.00000000000003</v>
      </c>
      <c r="P24" s="222">
        <v>250.8</v>
      </c>
      <c r="Q24" s="210">
        <v>55.000000000000007</v>
      </c>
      <c r="R24" s="251" t="s">
        <v>141</v>
      </c>
      <c r="S24" s="244">
        <v>77</v>
      </c>
      <c r="T24" s="259" t="s">
        <v>141</v>
      </c>
      <c r="U24" s="244" t="s">
        <v>141</v>
      </c>
      <c r="V24" s="259" t="s">
        <v>141</v>
      </c>
    </row>
    <row r="25" spans="2:22" ht="12.75" customHeight="1" outlineLevel="1">
      <c r="B25" s="855"/>
      <c r="C25" s="1009"/>
      <c r="D25" s="183" t="s">
        <v>150</v>
      </c>
      <c r="E25" s="184"/>
      <c r="F25" s="646"/>
      <c r="G25" s="638">
        <v>77</v>
      </c>
      <c r="H25" s="222">
        <v>92.4</v>
      </c>
      <c r="I25" s="202">
        <v>110.00000000000001</v>
      </c>
      <c r="J25" s="222">
        <v>132</v>
      </c>
      <c r="K25" s="202">
        <v>154</v>
      </c>
      <c r="L25" s="222">
        <v>184.8</v>
      </c>
      <c r="M25" s="202">
        <v>176</v>
      </c>
      <c r="N25" s="222">
        <v>211.20000000000002</v>
      </c>
      <c r="O25" s="202">
        <v>209.00000000000003</v>
      </c>
      <c r="P25" s="222">
        <v>250.8</v>
      </c>
      <c r="Q25" s="210">
        <v>55.000000000000007</v>
      </c>
      <c r="R25" s="251" t="s">
        <v>141</v>
      </c>
      <c r="S25" s="244">
        <v>77</v>
      </c>
      <c r="T25" s="259" t="s">
        <v>141</v>
      </c>
      <c r="U25" s="244" t="s">
        <v>141</v>
      </c>
      <c r="V25" s="259" t="s">
        <v>141</v>
      </c>
    </row>
    <row r="26" spans="2:22" ht="12.75" customHeight="1" outlineLevel="1">
      <c r="B26" s="855"/>
      <c r="C26" s="1009"/>
      <c r="D26" s="183" t="s">
        <v>112</v>
      </c>
      <c r="E26" s="184"/>
      <c r="F26" s="646"/>
      <c r="G26" s="638">
        <v>77</v>
      </c>
      <c r="H26" s="222">
        <v>92.4</v>
      </c>
      <c r="I26" s="202">
        <v>110.00000000000001</v>
      </c>
      <c r="J26" s="222">
        <v>132</v>
      </c>
      <c r="K26" s="202">
        <v>154</v>
      </c>
      <c r="L26" s="222">
        <v>184.8</v>
      </c>
      <c r="M26" s="202">
        <v>176</v>
      </c>
      <c r="N26" s="222">
        <v>211.20000000000002</v>
      </c>
      <c r="O26" s="202">
        <v>209.00000000000003</v>
      </c>
      <c r="P26" s="222">
        <v>250.8</v>
      </c>
      <c r="Q26" s="210">
        <v>55.000000000000007</v>
      </c>
      <c r="R26" s="251" t="s">
        <v>141</v>
      </c>
      <c r="S26" s="244">
        <v>77</v>
      </c>
      <c r="T26" s="259" t="s">
        <v>141</v>
      </c>
      <c r="U26" s="244" t="s">
        <v>141</v>
      </c>
      <c r="V26" s="259" t="s">
        <v>141</v>
      </c>
    </row>
    <row r="27" spans="2:22" ht="12.75" customHeight="1" outlineLevel="1">
      <c r="B27" s="855"/>
      <c r="C27" s="1009"/>
      <c r="D27" s="183" t="s">
        <v>151</v>
      </c>
      <c r="E27" s="184"/>
      <c r="F27" s="647"/>
      <c r="G27" s="639">
        <v>77</v>
      </c>
      <c r="H27" s="339">
        <v>92.4</v>
      </c>
      <c r="I27" s="338">
        <v>110.00000000000001</v>
      </c>
      <c r="J27" s="339">
        <v>132</v>
      </c>
      <c r="K27" s="338">
        <v>154</v>
      </c>
      <c r="L27" s="339">
        <v>184.8</v>
      </c>
      <c r="M27" s="338">
        <v>176</v>
      </c>
      <c r="N27" s="339">
        <v>211.20000000000002</v>
      </c>
      <c r="O27" s="338">
        <v>209.00000000000003</v>
      </c>
      <c r="P27" s="339">
        <v>250.8</v>
      </c>
      <c r="Q27" s="210">
        <v>55.000000000000007</v>
      </c>
      <c r="R27" s="251" t="s">
        <v>141</v>
      </c>
      <c r="S27" s="244">
        <v>77</v>
      </c>
      <c r="T27" s="259" t="s">
        <v>141</v>
      </c>
      <c r="U27" s="244" t="s">
        <v>141</v>
      </c>
      <c r="V27" s="259" t="s">
        <v>141</v>
      </c>
    </row>
    <row r="28" spans="2:22" ht="12.75" customHeight="1" outlineLevel="1">
      <c r="B28" s="855"/>
      <c r="C28" s="1009"/>
      <c r="D28" s="183" t="s">
        <v>152</v>
      </c>
      <c r="E28" s="184"/>
      <c r="F28" s="647"/>
      <c r="G28" s="640">
        <v>77</v>
      </c>
      <c r="H28" s="223">
        <v>92.4</v>
      </c>
      <c r="I28" s="204">
        <v>110.00000000000001</v>
      </c>
      <c r="J28" s="223">
        <v>132</v>
      </c>
      <c r="K28" s="204">
        <v>154</v>
      </c>
      <c r="L28" s="223">
        <v>184.8</v>
      </c>
      <c r="M28" s="204">
        <v>176</v>
      </c>
      <c r="N28" s="223">
        <v>211.20000000000002</v>
      </c>
      <c r="O28" s="204">
        <v>209.00000000000003</v>
      </c>
      <c r="P28" s="223">
        <v>250.8</v>
      </c>
      <c r="Q28" s="242">
        <v>55.000000000000007</v>
      </c>
      <c r="R28" s="252" t="s">
        <v>141</v>
      </c>
      <c r="S28" s="226">
        <v>77</v>
      </c>
      <c r="T28" s="260" t="s">
        <v>141</v>
      </c>
      <c r="U28" s="226" t="s">
        <v>141</v>
      </c>
      <c r="V28" s="260" t="s">
        <v>141</v>
      </c>
    </row>
    <row r="29" spans="2:22" ht="36" customHeight="1">
      <c r="B29" s="855"/>
      <c r="C29" s="1010"/>
      <c r="D29" s="1032" t="str">
        <f>D23&amp;", "&amp;D24&amp;", "&amp;D25&amp;", "&amp;D26&amp;", "&amp;D27&amp;", "&amp;D28</f>
        <v>WP Wiadomości, WP Opinie, WP Pogoda, WP SportoweFakty, WP Wroclaw, Wawalove</v>
      </c>
      <c r="E29" s="1033"/>
      <c r="F29" s="648"/>
      <c r="G29" s="641">
        <v>60.500000000000007</v>
      </c>
      <c r="H29" s="217">
        <v>71.5</v>
      </c>
      <c r="I29" s="206">
        <v>88</v>
      </c>
      <c r="J29" s="217">
        <v>105.60000000000001</v>
      </c>
      <c r="K29" s="206">
        <v>115.50000000000001</v>
      </c>
      <c r="L29" s="217">
        <v>138.60000000000002</v>
      </c>
      <c r="M29" s="201">
        <v>132</v>
      </c>
      <c r="N29" s="217">
        <v>159.5</v>
      </c>
      <c r="O29" s="201">
        <v>159.5</v>
      </c>
      <c r="P29" s="217">
        <v>192.50000000000003</v>
      </c>
      <c r="Q29" s="207">
        <v>44</v>
      </c>
      <c r="R29" s="246" t="s">
        <v>141</v>
      </c>
      <c r="S29" s="207">
        <v>60.500000000000007</v>
      </c>
      <c r="T29" s="265" t="s">
        <v>141</v>
      </c>
      <c r="U29" s="207" t="s">
        <v>141</v>
      </c>
      <c r="V29" s="265" t="s">
        <v>141</v>
      </c>
    </row>
    <row r="30" spans="2:22" ht="12.75" customHeight="1" outlineLevel="1">
      <c r="B30" s="855"/>
      <c r="C30" s="1035" t="str">
        <f>IF('Język - Language'!$B$30="Polski","MOTORYZACJA","AUTOMOTIVE")</f>
        <v>MOTORYZACJA</v>
      </c>
      <c r="D30" s="179" t="s">
        <v>113</v>
      </c>
      <c r="E30" s="180"/>
      <c r="F30" s="645"/>
      <c r="G30" s="637">
        <v>66</v>
      </c>
      <c r="H30" s="221">
        <v>79.2</v>
      </c>
      <c r="I30" s="200">
        <v>99.000000000000014</v>
      </c>
      <c r="J30" s="221">
        <v>118.80000000000001</v>
      </c>
      <c r="K30" s="200">
        <v>132</v>
      </c>
      <c r="L30" s="221">
        <v>158.4</v>
      </c>
      <c r="M30" s="200">
        <v>154</v>
      </c>
      <c r="N30" s="221">
        <v>184.8</v>
      </c>
      <c r="O30" s="200">
        <v>176</v>
      </c>
      <c r="P30" s="221">
        <v>211.20000000000002</v>
      </c>
      <c r="Q30" s="198">
        <v>44</v>
      </c>
      <c r="R30" s="250" t="s">
        <v>141</v>
      </c>
      <c r="S30" s="243">
        <v>66</v>
      </c>
      <c r="T30" s="258" t="s">
        <v>141</v>
      </c>
      <c r="U30" s="243" t="s">
        <v>141</v>
      </c>
      <c r="V30" s="258" t="s">
        <v>141</v>
      </c>
    </row>
    <row r="31" spans="2:22" ht="12.75" customHeight="1" outlineLevel="1">
      <c r="B31" s="855"/>
      <c r="C31" s="1005"/>
      <c r="D31" s="183" t="s">
        <v>117</v>
      </c>
      <c r="E31" s="184"/>
      <c r="F31" s="646"/>
      <c r="G31" s="638">
        <v>66</v>
      </c>
      <c r="H31" s="222">
        <v>79.2</v>
      </c>
      <c r="I31" s="202">
        <v>99.000000000000014</v>
      </c>
      <c r="J31" s="222">
        <v>118.80000000000001</v>
      </c>
      <c r="K31" s="202">
        <v>132</v>
      </c>
      <c r="L31" s="222">
        <v>158.4</v>
      </c>
      <c r="M31" s="202">
        <v>154</v>
      </c>
      <c r="N31" s="222">
        <v>184.8</v>
      </c>
      <c r="O31" s="202">
        <v>176</v>
      </c>
      <c r="P31" s="222">
        <v>211.20000000000002</v>
      </c>
      <c r="Q31" s="210">
        <v>44</v>
      </c>
      <c r="R31" s="251" t="s">
        <v>141</v>
      </c>
      <c r="S31" s="244">
        <v>66</v>
      </c>
      <c r="T31" s="259" t="s">
        <v>141</v>
      </c>
      <c r="U31" s="244" t="s">
        <v>141</v>
      </c>
      <c r="V31" s="259" t="s">
        <v>141</v>
      </c>
    </row>
    <row r="32" spans="2:22" ht="12.75" customHeight="1" outlineLevel="1">
      <c r="B32" s="855"/>
      <c r="C32" s="1005"/>
      <c r="D32" s="181" t="s">
        <v>123</v>
      </c>
      <c r="E32" s="182"/>
      <c r="F32" s="649"/>
      <c r="G32" s="642">
        <v>66</v>
      </c>
      <c r="H32" s="341">
        <v>79.2</v>
      </c>
      <c r="I32" s="340">
        <v>99.000000000000014</v>
      </c>
      <c r="J32" s="341">
        <v>118.80000000000001</v>
      </c>
      <c r="K32" s="340">
        <v>132</v>
      </c>
      <c r="L32" s="341">
        <v>158.4</v>
      </c>
      <c r="M32" s="340">
        <v>154</v>
      </c>
      <c r="N32" s="341">
        <v>184.8</v>
      </c>
      <c r="O32" s="340">
        <v>176</v>
      </c>
      <c r="P32" s="341">
        <v>211.20000000000002</v>
      </c>
      <c r="Q32" s="242">
        <v>44</v>
      </c>
      <c r="R32" s="252" t="s">
        <v>141</v>
      </c>
      <c r="S32" s="226">
        <v>66</v>
      </c>
      <c r="T32" s="260" t="s">
        <v>141</v>
      </c>
      <c r="U32" s="226" t="s">
        <v>141</v>
      </c>
      <c r="V32" s="260" t="s">
        <v>141</v>
      </c>
    </row>
    <row r="33" spans="2:22" ht="36" customHeight="1">
      <c r="B33" s="855"/>
      <c r="C33" s="1036"/>
      <c r="D33" s="1030" t="str">
        <f>D30&amp;", "&amp;D31&amp;", "&amp;D32</f>
        <v>WP Autokult, WP Moto, Autocentrum</v>
      </c>
      <c r="E33" s="1031"/>
      <c r="F33" s="626"/>
      <c r="G33" s="641">
        <v>49.500000000000007</v>
      </c>
      <c r="H33" s="217">
        <v>59.400000000000006</v>
      </c>
      <c r="I33" s="206">
        <v>74.800000000000011</v>
      </c>
      <c r="J33" s="217">
        <v>89.100000000000009</v>
      </c>
      <c r="K33" s="206">
        <v>99.000000000000014</v>
      </c>
      <c r="L33" s="217">
        <v>118.80000000000001</v>
      </c>
      <c r="M33" s="201">
        <v>115.50000000000001</v>
      </c>
      <c r="N33" s="217">
        <v>137.5</v>
      </c>
      <c r="O33" s="201">
        <v>132</v>
      </c>
      <c r="P33" s="217">
        <v>158.4</v>
      </c>
      <c r="Q33" s="207">
        <v>37.400000000000006</v>
      </c>
      <c r="R33" s="246" t="s">
        <v>141</v>
      </c>
      <c r="S33" s="207">
        <v>49.500000000000007</v>
      </c>
      <c r="T33" s="261" t="s">
        <v>141</v>
      </c>
      <c r="U33" s="207" t="s">
        <v>141</v>
      </c>
      <c r="V33" s="261" t="s">
        <v>141</v>
      </c>
    </row>
    <row r="34" spans="2:22" ht="12.75" hidden="1" customHeight="1" outlineLevel="1">
      <c r="B34" s="855"/>
      <c r="C34" s="1037" t="str">
        <f>IF('Język - Language'!$B$30="Polski","ROZRYWKA","FUN")</f>
        <v>ROZRYWKA</v>
      </c>
      <c r="D34" s="179" t="s">
        <v>118</v>
      </c>
      <c r="E34" s="180"/>
      <c r="F34" s="645"/>
      <c r="G34" s="637">
        <v>44</v>
      </c>
      <c r="H34" s="221">
        <v>52.800000000000004</v>
      </c>
      <c r="I34" s="200">
        <v>66</v>
      </c>
      <c r="J34" s="221">
        <v>79.2</v>
      </c>
      <c r="K34" s="200">
        <v>88</v>
      </c>
      <c r="L34" s="221">
        <v>105.60000000000001</v>
      </c>
      <c r="M34" s="200">
        <v>99.000000000000014</v>
      </c>
      <c r="N34" s="221">
        <v>118.80000000000001</v>
      </c>
      <c r="O34" s="200">
        <v>110.00000000000001</v>
      </c>
      <c r="P34" s="221">
        <v>132</v>
      </c>
      <c r="Q34" s="198">
        <v>33</v>
      </c>
      <c r="R34" s="250" t="s">
        <v>141</v>
      </c>
      <c r="S34" s="243">
        <v>44</v>
      </c>
      <c r="T34" s="262" t="s">
        <v>141</v>
      </c>
      <c r="U34" s="243" t="s">
        <v>141</v>
      </c>
      <c r="V34" s="262" t="s">
        <v>141</v>
      </c>
    </row>
    <row r="35" spans="2:22" ht="12.75" hidden="1" customHeight="1" outlineLevel="1">
      <c r="B35" s="855"/>
      <c r="C35" s="1009"/>
      <c r="D35" s="193" t="s">
        <v>153</v>
      </c>
      <c r="E35" s="194"/>
      <c r="F35" s="650"/>
      <c r="G35" s="638">
        <v>44</v>
      </c>
      <c r="H35" s="222">
        <v>52.800000000000004</v>
      </c>
      <c r="I35" s="202">
        <v>66</v>
      </c>
      <c r="J35" s="222">
        <v>79.2</v>
      </c>
      <c r="K35" s="202">
        <v>88</v>
      </c>
      <c r="L35" s="222">
        <v>105.60000000000001</v>
      </c>
      <c r="M35" s="202">
        <v>99.000000000000014</v>
      </c>
      <c r="N35" s="222">
        <v>118.80000000000001</v>
      </c>
      <c r="O35" s="202">
        <v>110.00000000000001</v>
      </c>
      <c r="P35" s="222">
        <v>132</v>
      </c>
      <c r="Q35" s="210">
        <v>33</v>
      </c>
      <c r="R35" s="251" t="s">
        <v>141</v>
      </c>
      <c r="S35" s="244">
        <v>44</v>
      </c>
      <c r="T35" s="263" t="s">
        <v>141</v>
      </c>
      <c r="U35" s="244" t="s">
        <v>141</v>
      </c>
      <c r="V35" s="263" t="s">
        <v>141</v>
      </c>
    </row>
    <row r="36" spans="2:22" ht="12.75" hidden="1" customHeight="1" outlineLevel="1">
      <c r="B36" s="855"/>
      <c r="C36" s="1009"/>
      <c r="D36" s="183" t="s">
        <v>154</v>
      </c>
      <c r="E36" s="184"/>
      <c r="F36" s="646"/>
      <c r="G36" s="638">
        <v>44</v>
      </c>
      <c r="H36" s="222">
        <v>52.800000000000004</v>
      </c>
      <c r="I36" s="202">
        <v>66</v>
      </c>
      <c r="J36" s="222">
        <v>79.2</v>
      </c>
      <c r="K36" s="202">
        <v>88</v>
      </c>
      <c r="L36" s="222">
        <v>105.60000000000001</v>
      </c>
      <c r="M36" s="202">
        <v>99.000000000000014</v>
      </c>
      <c r="N36" s="222">
        <v>118.80000000000001</v>
      </c>
      <c r="O36" s="202">
        <v>110.00000000000001</v>
      </c>
      <c r="P36" s="222">
        <v>132</v>
      </c>
      <c r="Q36" s="210">
        <v>33</v>
      </c>
      <c r="R36" s="251" t="s">
        <v>141</v>
      </c>
      <c r="S36" s="244">
        <v>44</v>
      </c>
      <c r="T36" s="263" t="s">
        <v>141</v>
      </c>
      <c r="U36" s="244" t="s">
        <v>141</v>
      </c>
      <c r="V36" s="263" t="s">
        <v>141</v>
      </c>
    </row>
    <row r="37" spans="2:22" ht="12.75" hidden="1" customHeight="1" outlineLevel="1">
      <c r="B37" s="855"/>
      <c r="C37" s="1009"/>
      <c r="D37" s="183" t="s">
        <v>155</v>
      </c>
      <c r="E37" s="184"/>
      <c r="F37" s="646"/>
      <c r="G37" s="638">
        <v>44</v>
      </c>
      <c r="H37" s="222">
        <v>52.800000000000004</v>
      </c>
      <c r="I37" s="202">
        <v>66</v>
      </c>
      <c r="J37" s="222">
        <v>79.2</v>
      </c>
      <c r="K37" s="202">
        <v>88</v>
      </c>
      <c r="L37" s="222">
        <v>105.60000000000001</v>
      </c>
      <c r="M37" s="202">
        <v>99.000000000000014</v>
      </c>
      <c r="N37" s="222">
        <v>118.80000000000001</v>
      </c>
      <c r="O37" s="202">
        <v>110.00000000000001</v>
      </c>
      <c r="P37" s="222">
        <v>132</v>
      </c>
      <c r="Q37" s="210">
        <v>33</v>
      </c>
      <c r="R37" s="251" t="s">
        <v>141</v>
      </c>
      <c r="S37" s="244">
        <v>44</v>
      </c>
      <c r="T37" s="263" t="s">
        <v>141</v>
      </c>
      <c r="U37" s="244" t="s">
        <v>141</v>
      </c>
      <c r="V37" s="263" t="s">
        <v>141</v>
      </c>
    </row>
    <row r="38" spans="2:22" ht="12.75" hidden="1" customHeight="1" outlineLevel="1">
      <c r="B38" s="855"/>
      <c r="C38" s="1009"/>
      <c r="D38" s="183" t="s">
        <v>156</v>
      </c>
      <c r="E38" s="184"/>
      <c r="F38" s="646"/>
      <c r="G38" s="638">
        <v>44</v>
      </c>
      <c r="H38" s="222">
        <v>52.800000000000004</v>
      </c>
      <c r="I38" s="202">
        <v>66</v>
      </c>
      <c r="J38" s="222">
        <v>79.2</v>
      </c>
      <c r="K38" s="202">
        <v>88</v>
      </c>
      <c r="L38" s="222">
        <v>105.60000000000001</v>
      </c>
      <c r="M38" s="202">
        <v>99.000000000000014</v>
      </c>
      <c r="N38" s="222">
        <v>118.80000000000001</v>
      </c>
      <c r="O38" s="202">
        <v>110.00000000000001</v>
      </c>
      <c r="P38" s="222">
        <v>132</v>
      </c>
      <c r="Q38" s="210">
        <v>33</v>
      </c>
      <c r="R38" s="251" t="s">
        <v>141</v>
      </c>
      <c r="S38" s="244">
        <v>44</v>
      </c>
      <c r="T38" s="263" t="s">
        <v>141</v>
      </c>
      <c r="U38" s="244" t="s">
        <v>141</v>
      </c>
      <c r="V38" s="263" t="s">
        <v>141</v>
      </c>
    </row>
    <row r="39" spans="2:22" ht="12.75" hidden="1" customHeight="1" outlineLevel="1">
      <c r="B39" s="855"/>
      <c r="C39" s="1009"/>
      <c r="D39" s="183" t="s">
        <v>157</v>
      </c>
      <c r="E39" s="184"/>
      <c r="F39" s="646"/>
      <c r="G39" s="638">
        <v>44</v>
      </c>
      <c r="H39" s="222">
        <v>52.800000000000004</v>
      </c>
      <c r="I39" s="202">
        <v>66</v>
      </c>
      <c r="J39" s="222">
        <v>79.2</v>
      </c>
      <c r="K39" s="202">
        <v>88</v>
      </c>
      <c r="L39" s="222">
        <v>105.60000000000001</v>
      </c>
      <c r="M39" s="202">
        <v>99.000000000000014</v>
      </c>
      <c r="N39" s="222">
        <v>118.80000000000001</v>
      </c>
      <c r="O39" s="202">
        <v>110.00000000000001</v>
      </c>
      <c r="P39" s="222">
        <v>132</v>
      </c>
      <c r="Q39" s="210">
        <v>33</v>
      </c>
      <c r="R39" s="251" t="s">
        <v>141</v>
      </c>
      <c r="S39" s="244">
        <v>44</v>
      </c>
      <c r="T39" s="263" t="s">
        <v>141</v>
      </c>
      <c r="U39" s="244" t="s">
        <v>141</v>
      </c>
      <c r="V39" s="263" t="s">
        <v>141</v>
      </c>
    </row>
    <row r="40" spans="2:22" ht="12.75" hidden="1" customHeight="1" outlineLevel="1">
      <c r="B40" s="855"/>
      <c r="C40" s="1009"/>
      <c r="D40" s="183" t="s">
        <v>158</v>
      </c>
      <c r="E40" s="184"/>
      <c r="F40" s="646"/>
      <c r="G40" s="638">
        <v>66</v>
      </c>
      <c r="H40" s="222">
        <v>79.2</v>
      </c>
      <c r="I40" s="202">
        <v>99.000000000000014</v>
      </c>
      <c r="J40" s="222">
        <v>118.80000000000001</v>
      </c>
      <c r="K40" s="202">
        <v>132</v>
      </c>
      <c r="L40" s="222">
        <v>158.4</v>
      </c>
      <c r="M40" s="202" t="s">
        <v>141</v>
      </c>
      <c r="N40" s="222" t="s">
        <v>141</v>
      </c>
      <c r="O40" s="202" t="s">
        <v>141</v>
      </c>
      <c r="P40" s="203" t="s">
        <v>141</v>
      </c>
      <c r="Q40" s="210">
        <v>44</v>
      </c>
      <c r="R40" s="251" t="s">
        <v>141</v>
      </c>
      <c r="S40" s="244">
        <v>66</v>
      </c>
      <c r="T40" s="263" t="s">
        <v>141</v>
      </c>
      <c r="U40" s="244" t="s">
        <v>141</v>
      </c>
      <c r="V40" s="263" t="s">
        <v>141</v>
      </c>
    </row>
    <row r="41" spans="2:22" ht="12.75" hidden="1" customHeight="1" outlineLevel="1">
      <c r="B41" s="855"/>
      <c r="C41" s="1009"/>
      <c r="D41" s="183" t="s">
        <v>159</v>
      </c>
      <c r="E41" s="184"/>
      <c r="F41" s="646"/>
      <c r="G41" s="638">
        <v>66</v>
      </c>
      <c r="H41" s="222">
        <v>79.2</v>
      </c>
      <c r="I41" s="202">
        <v>99.000000000000014</v>
      </c>
      <c r="J41" s="222">
        <v>118.80000000000001</v>
      </c>
      <c r="K41" s="202">
        <v>132</v>
      </c>
      <c r="L41" s="222">
        <v>158.4</v>
      </c>
      <c r="M41" s="202">
        <v>154</v>
      </c>
      <c r="N41" s="222">
        <v>184.8</v>
      </c>
      <c r="O41" s="202" t="s">
        <v>141</v>
      </c>
      <c r="P41" s="203" t="s">
        <v>141</v>
      </c>
      <c r="Q41" s="210">
        <v>44</v>
      </c>
      <c r="R41" s="251" t="s">
        <v>141</v>
      </c>
      <c r="S41" s="244">
        <v>66</v>
      </c>
      <c r="T41" s="263" t="s">
        <v>141</v>
      </c>
      <c r="U41" s="244" t="s">
        <v>141</v>
      </c>
      <c r="V41" s="263" t="s">
        <v>141</v>
      </c>
    </row>
    <row r="42" spans="2:22" ht="12.75" hidden="1" customHeight="1" outlineLevel="1">
      <c r="B42" s="855"/>
      <c r="C42" s="1009"/>
      <c r="D42" s="183" t="s">
        <v>160</v>
      </c>
      <c r="E42" s="184"/>
      <c r="F42" s="646"/>
      <c r="G42" s="638">
        <v>66</v>
      </c>
      <c r="H42" s="222">
        <v>79.2</v>
      </c>
      <c r="I42" s="202">
        <v>99.000000000000014</v>
      </c>
      <c r="J42" s="222">
        <v>118.80000000000001</v>
      </c>
      <c r="K42" s="202">
        <v>132</v>
      </c>
      <c r="L42" s="222">
        <v>158.4</v>
      </c>
      <c r="M42" s="202">
        <v>154</v>
      </c>
      <c r="N42" s="222">
        <v>184.8</v>
      </c>
      <c r="O42" s="202">
        <v>176</v>
      </c>
      <c r="P42" s="222">
        <v>211.20000000000002</v>
      </c>
      <c r="Q42" s="210">
        <v>44</v>
      </c>
      <c r="R42" s="251" t="s">
        <v>141</v>
      </c>
      <c r="S42" s="244">
        <v>66</v>
      </c>
      <c r="T42" s="263" t="s">
        <v>141</v>
      </c>
      <c r="U42" s="244" t="s">
        <v>141</v>
      </c>
      <c r="V42" s="263" t="s">
        <v>141</v>
      </c>
    </row>
    <row r="43" spans="2:22" ht="12.75" hidden="1" customHeight="1" outlineLevel="1">
      <c r="B43" s="855"/>
      <c r="C43" s="1009"/>
      <c r="D43" s="183" t="s">
        <v>161</v>
      </c>
      <c r="E43" s="184"/>
      <c r="F43" s="646"/>
      <c r="G43" s="638">
        <v>66</v>
      </c>
      <c r="H43" s="222">
        <v>79.2</v>
      </c>
      <c r="I43" s="202">
        <v>99.000000000000014</v>
      </c>
      <c r="J43" s="222">
        <v>118.80000000000001</v>
      </c>
      <c r="K43" s="202">
        <v>132</v>
      </c>
      <c r="L43" s="222">
        <v>158.4</v>
      </c>
      <c r="M43" s="202">
        <v>154</v>
      </c>
      <c r="N43" s="222">
        <v>184.8</v>
      </c>
      <c r="O43" s="202">
        <v>176</v>
      </c>
      <c r="P43" s="222">
        <v>211.20000000000002</v>
      </c>
      <c r="Q43" s="210">
        <v>44</v>
      </c>
      <c r="R43" s="251" t="s">
        <v>141</v>
      </c>
      <c r="S43" s="244">
        <v>66</v>
      </c>
      <c r="T43" s="263" t="s">
        <v>141</v>
      </c>
      <c r="U43" s="244" t="s">
        <v>141</v>
      </c>
      <c r="V43" s="263" t="s">
        <v>141</v>
      </c>
    </row>
    <row r="44" spans="2:22" ht="12.75" hidden="1" customHeight="1" outlineLevel="1">
      <c r="B44" s="855"/>
      <c r="C44" s="1009"/>
      <c r="D44" s="183" t="s">
        <v>162</v>
      </c>
      <c r="E44" s="184"/>
      <c r="F44" s="646"/>
      <c r="G44" s="638">
        <v>44</v>
      </c>
      <c r="H44" s="222">
        <v>52.800000000000004</v>
      </c>
      <c r="I44" s="202">
        <v>66</v>
      </c>
      <c r="J44" s="222">
        <v>79.2</v>
      </c>
      <c r="K44" s="202">
        <v>88</v>
      </c>
      <c r="L44" s="222">
        <v>105.60000000000001</v>
      </c>
      <c r="M44" s="202">
        <v>99.000000000000014</v>
      </c>
      <c r="N44" s="222">
        <v>118.80000000000001</v>
      </c>
      <c r="O44" s="202">
        <v>110.00000000000001</v>
      </c>
      <c r="P44" s="222">
        <v>132</v>
      </c>
      <c r="Q44" s="210">
        <v>33</v>
      </c>
      <c r="R44" s="251" t="s">
        <v>141</v>
      </c>
      <c r="S44" s="244">
        <v>44</v>
      </c>
      <c r="T44" s="263" t="s">
        <v>141</v>
      </c>
      <c r="U44" s="244" t="s">
        <v>141</v>
      </c>
      <c r="V44" s="263" t="s">
        <v>141</v>
      </c>
    </row>
    <row r="45" spans="2:22" ht="12.75" hidden="1" customHeight="1" outlineLevel="1">
      <c r="B45" s="855"/>
      <c r="C45" s="1009"/>
      <c r="D45" s="183" t="s">
        <v>163</v>
      </c>
      <c r="E45" s="184"/>
      <c r="F45" s="646"/>
      <c r="G45" s="638">
        <v>66</v>
      </c>
      <c r="H45" s="222">
        <v>79.2</v>
      </c>
      <c r="I45" s="202">
        <v>99.000000000000014</v>
      </c>
      <c r="J45" s="222">
        <v>118.80000000000001</v>
      </c>
      <c r="K45" s="202">
        <v>132</v>
      </c>
      <c r="L45" s="222">
        <v>158.4</v>
      </c>
      <c r="M45" s="202" t="s">
        <v>141</v>
      </c>
      <c r="N45" s="222" t="s">
        <v>141</v>
      </c>
      <c r="O45" s="202" t="s">
        <v>141</v>
      </c>
      <c r="P45" s="203" t="s">
        <v>141</v>
      </c>
      <c r="Q45" s="210">
        <v>44</v>
      </c>
      <c r="R45" s="251" t="s">
        <v>141</v>
      </c>
      <c r="S45" s="244">
        <v>66</v>
      </c>
      <c r="T45" s="263" t="s">
        <v>141</v>
      </c>
      <c r="U45" s="244" t="s">
        <v>141</v>
      </c>
      <c r="V45" s="263" t="s">
        <v>141</v>
      </c>
    </row>
    <row r="46" spans="2:22" ht="12.75" hidden="1" customHeight="1" outlineLevel="1">
      <c r="B46" s="855"/>
      <c r="C46" s="1009"/>
      <c r="D46" s="183" t="s">
        <v>534</v>
      </c>
      <c r="E46" s="184"/>
      <c r="F46" s="646"/>
      <c r="G46" s="638">
        <v>44</v>
      </c>
      <c r="H46" s="222">
        <v>52.800000000000004</v>
      </c>
      <c r="I46" s="202">
        <v>66</v>
      </c>
      <c r="J46" s="222">
        <v>79.2</v>
      </c>
      <c r="K46" s="202">
        <v>88</v>
      </c>
      <c r="L46" s="222">
        <v>105.60000000000001</v>
      </c>
      <c r="M46" s="202" t="s">
        <v>141</v>
      </c>
      <c r="N46" s="222" t="s">
        <v>141</v>
      </c>
      <c r="O46" s="202" t="s">
        <v>141</v>
      </c>
      <c r="P46" s="203" t="s">
        <v>141</v>
      </c>
      <c r="Q46" s="210" t="s">
        <v>141</v>
      </c>
      <c r="R46" s="251" t="s">
        <v>141</v>
      </c>
      <c r="S46" s="244" t="s">
        <v>141</v>
      </c>
      <c r="T46" s="263" t="s">
        <v>141</v>
      </c>
      <c r="U46" s="244" t="s">
        <v>141</v>
      </c>
      <c r="V46" s="263" t="s">
        <v>141</v>
      </c>
    </row>
    <row r="47" spans="2:22" ht="12.75" hidden="1" customHeight="1" outlineLevel="1">
      <c r="B47" s="855"/>
      <c r="C47" s="1009"/>
      <c r="D47" s="183" t="s">
        <v>536</v>
      </c>
      <c r="E47" s="184"/>
      <c r="F47" s="646"/>
      <c r="G47" s="638">
        <v>66</v>
      </c>
      <c r="H47" s="222">
        <v>79.2</v>
      </c>
      <c r="I47" s="202">
        <v>99</v>
      </c>
      <c r="J47" s="222">
        <v>118.8</v>
      </c>
      <c r="K47" s="202">
        <v>132</v>
      </c>
      <c r="L47" s="222">
        <v>158.4</v>
      </c>
      <c r="M47" s="202" t="s">
        <v>141</v>
      </c>
      <c r="N47" s="222" t="s">
        <v>141</v>
      </c>
      <c r="O47" s="202" t="s">
        <v>141</v>
      </c>
      <c r="P47" s="203" t="s">
        <v>141</v>
      </c>
      <c r="Q47" s="210" t="s">
        <v>141</v>
      </c>
      <c r="R47" s="251" t="s">
        <v>141</v>
      </c>
      <c r="S47" s="244" t="s">
        <v>141</v>
      </c>
      <c r="T47" s="263" t="s">
        <v>141</v>
      </c>
      <c r="U47" s="244" t="s">
        <v>141</v>
      </c>
      <c r="V47" s="263" t="s">
        <v>141</v>
      </c>
    </row>
    <row r="48" spans="2:22" ht="12.75" hidden="1" customHeight="1" outlineLevel="1">
      <c r="B48" s="855"/>
      <c r="C48" s="1009"/>
      <c r="D48" s="181" t="s">
        <v>537</v>
      </c>
      <c r="E48" s="182"/>
      <c r="F48" s="649"/>
      <c r="G48" s="642">
        <v>44</v>
      </c>
      <c r="H48" s="341">
        <v>52.8</v>
      </c>
      <c r="I48" s="340">
        <v>66</v>
      </c>
      <c r="J48" s="341">
        <v>79.2</v>
      </c>
      <c r="K48" s="340">
        <v>88</v>
      </c>
      <c r="L48" s="341">
        <v>105.6</v>
      </c>
      <c r="M48" s="340" t="s">
        <v>141</v>
      </c>
      <c r="N48" s="341" t="s">
        <v>141</v>
      </c>
      <c r="O48" s="340" t="s">
        <v>141</v>
      </c>
      <c r="P48" s="773" t="s">
        <v>141</v>
      </c>
      <c r="Q48" s="242" t="s">
        <v>141</v>
      </c>
      <c r="R48" s="252" t="s">
        <v>141</v>
      </c>
      <c r="S48" s="226" t="s">
        <v>141</v>
      </c>
      <c r="T48" s="264" t="s">
        <v>141</v>
      </c>
      <c r="U48" s="226" t="s">
        <v>141</v>
      </c>
      <c r="V48" s="264" t="s">
        <v>141</v>
      </c>
    </row>
    <row r="49" spans="2:22" ht="42" customHeight="1" collapsed="1">
      <c r="B49" s="855"/>
      <c r="C49" s="1010"/>
      <c r="D49" s="1032" t="str">
        <f>D34&amp;", "&amp;D35&amp;", "&amp;D36&amp;", "&amp;D37&amp;", "&amp;D38&amp;", "&amp;D39&amp;", "&amp;D40&amp;", "&amp;D41&amp;", "&amp;D42&amp;", "&amp;D43&amp;", "&amp;D44&amp;", "&amp;D45&amp;", "&amp;D46&amp;", "&amp;D47&amp;", "&amp;D48</f>
        <v>WP Film, WP Gry, WP Gwiazdy, WP Książki, WP Program TV, WP Teleshow, WP Pilot, WP Wideo, polygamia.pl, Pudelek, o2 serwisy, OpenFM, Vibez.pl, genialne.pl, jastrzabpost.pl</v>
      </c>
      <c r="E49" s="1033"/>
      <c r="F49" s="648"/>
      <c r="G49" s="641">
        <v>33</v>
      </c>
      <c r="H49" s="217">
        <v>39.6</v>
      </c>
      <c r="I49" s="206">
        <v>49.500000000000007</v>
      </c>
      <c r="J49" s="217">
        <v>59.400000000000006</v>
      </c>
      <c r="K49" s="206">
        <v>66</v>
      </c>
      <c r="L49" s="217">
        <v>79.2</v>
      </c>
      <c r="M49" s="201">
        <v>77</v>
      </c>
      <c r="N49" s="217">
        <v>93.500000000000014</v>
      </c>
      <c r="O49" s="201">
        <v>85.800000000000011</v>
      </c>
      <c r="P49" s="217">
        <v>103.4</v>
      </c>
      <c r="Q49" s="237">
        <v>25.3</v>
      </c>
      <c r="R49" s="246" t="s">
        <v>141</v>
      </c>
      <c r="S49" s="207">
        <v>33</v>
      </c>
      <c r="T49" s="254" t="s">
        <v>141</v>
      </c>
      <c r="U49" s="207" t="s">
        <v>141</v>
      </c>
      <c r="V49" s="254" t="s">
        <v>141</v>
      </c>
    </row>
    <row r="50" spans="2:22" ht="12.75" hidden="1" customHeight="1" outlineLevel="1">
      <c r="B50" s="855"/>
      <c r="C50" s="1037" t="str">
        <f>IF('Język - Language'!$B$30="Polski","STYL ŻYCIA","LIFESTYLE")</f>
        <v>STYL ŻYCIA</v>
      </c>
      <c r="D50" s="179" t="s">
        <v>122</v>
      </c>
      <c r="E50" s="180"/>
      <c r="F50" s="645"/>
      <c r="G50" s="637">
        <v>121.00000000000001</v>
      </c>
      <c r="H50" s="221">
        <v>145.20000000000002</v>
      </c>
      <c r="I50" s="200">
        <v>176</v>
      </c>
      <c r="J50" s="221">
        <v>211.20000000000002</v>
      </c>
      <c r="K50" s="200">
        <v>231.00000000000003</v>
      </c>
      <c r="L50" s="221">
        <v>277.20000000000005</v>
      </c>
      <c r="M50" s="200">
        <v>264</v>
      </c>
      <c r="N50" s="221">
        <v>316.8</v>
      </c>
      <c r="O50" s="200">
        <v>297</v>
      </c>
      <c r="P50" s="221">
        <v>356.40000000000003</v>
      </c>
      <c r="Q50" s="198">
        <v>88</v>
      </c>
      <c r="R50" s="250" t="s">
        <v>141</v>
      </c>
      <c r="S50" s="198">
        <v>121.00000000000001</v>
      </c>
      <c r="T50" s="258" t="s">
        <v>141</v>
      </c>
      <c r="U50" s="198" t="s">
        <v>141</v>
      </c>
      <c r="V50" s="258" t="s">
        <v>141</v>
      </c>
    </row>
    <row r="51" spans="2:22" ht="12.75" hidden="1" customHeight="1" outlineLevel="1">
      <c r="B51" s="855"/>
      <c r="C51" s="1009"/>
      <c r="D51" s="193" t="s">
        <v>164</v>
      </c>
      <c r="E51" s="194"/>
      <c r="F51" s="650"/>
      <c r="G51" s="643">
        <v>66</v>
      </c>
      <c r="H51" s="281">
        <v>79.2</v>
      </c>
      <c r="I51" s="280">
        <v>99.000000000000014</v>
      </c>
      <c r="J51" s="281">
        <v>118.80000000000001</v>
      </c>
      <c r="K51" s="280">
        <v>132</v>
      </c>
      <c r="L51" s="281">
        <v>158.4</v>
      </c>
      <c r="M51" s="280">
        <v>154</v>
      </c>
      <c r="N51" s="281">
        <v>184.8</v>
      </c>
      <c r="O51" s="280">
        <v>176</v>
      </c>
      <c r="P51" s="281">
        <v>211.20000000000002</v>
      </c>
      <c r="Q51" s="282">
        <v>44</v>
      </c>
      <c r="R51" s="283" t="s">
        <v>141</v>
      </c>
      <c r="S51" s="282">
        <v>66</v>
      </c>
      <c r="T51" s="284" t="s">
        <v>141</v>
      </c>
      <c r="U51" s="282" t="s">
        <v>141</v>
      </c>
      <c r="V51" s="284" t="s">
        <v>141</v>
      </c>
    </row>
    <row r="52" spans="2:22" ht="12.75" hidden="1" customHeight="1" outlineLevel="1">
      <c r="B52" s="855"/>
      <c r="C52" s="1009"/>
      <c r="D52" s="183" t="s">
        <v>165</v>
      </c>
      <c r="E52" s="184"/>
      <c r="F52" s="646"/>
      <c r="G52" s="638">
        <v>66</v>
      </c>
      <c r="H52" s="222">
        <v>79.2</v>
      </c>
      <c r="I52" s="202">
        <v>99.000000000000014</v>
      </c>
      <c r="J52" s="222">
        <v>118.80000000000001</v>
      </c>
      <c r="K52" s="202">
        <v>132</v>
      </c>
      <c r="L52" s="222">
        <v>158.4</v>
      </c>
      <c r="M52" s="202">
        <v>154</v>
      </c>
      <c r="N52" s="222">
        <v>184.8</v>
      </c>
      <c r="O52" s="202">
        <v>176</v>
      </c>
      <c r="P52" s="222">
        <v>211.20000000000002</v>
      </c>
      <c r="Q52" s="210">
        <v>44</v>
      </c>
      <c r="R52" s="251" t="s">
        <v>141</v>
      </c>
      <c r="S52" s="210">
        <v>66</v>
      </c>
      <c r="T52" s="259" t="s">
        <v>141</v>
      </c>
      <c r="U52" s="210" t="s">
        <v>141</v>
      </c>
      <c r="V52" s="259" t="s">
        <v>141</v>
      </c>
    </row>
    <row r="53" spans="2:22" ht="12.75" hidden="1" customHeight="1" outlineLevel="1">
      <c r="B53" s="855"/>
      <c r="C53" s="1009"/>
      <c r="D53" s="183" t="s">
        <v>119</v>
      </c>
      <c r="E53" s="184"/>
      <c r="F53" s="646"/>
      <c r="G53" s="638">
        <v>66</v>
      </c>
      <c r="H53" s="222">
        <v>79.2</v>
      </c>
      <c r="I53" s="202">
        <v>99.000000000000014</v>
      </c>
      <c r="J53" s="222">
        <v>118.80000000000001</v>
      </c>
      <c r="K53" s="202">
        <v>132</v>
      </c>
      <c r="L53" s="222">
        <v>158.4</v>
      </c>
      <c r="M53" s="202">
        <v>154</v>
      </c>
      <c r="N53" s="222">
        <v>184.8</v>
      </c>
      <c r="O53" s="202">
        <v>176</v>
      </c>
      <c r="P53" s="222">
        <v>211.20000000000002</v>
      </c>
      <c r="Q53" s="210">
        <v>44</v>
      </c>
      <c r="R53" s="251" t="s">
        <v>141</v>
      </c>
      <c r="S53" s="210">
        <v>66</v>
      </c>
      <c r="T53" s="259" t="s">
        <v>141</v>
      </c>
      <c r="U53" s="210" t="s">
        <v>141</v>
      </c>
      <c r="V53" s="259" t="s">
        <v>141</v>
      </c>
    </row>
    <row r="54" spans="2:22" ht="12.75" hidden="1" customHeight="1" outlineLevel="1">
      <c r="B54" s="855"/>
      <c r="C54" s="1009"/>
      <c r="D54" s="183" t="s">
        <v>166</v>
      </c>
      <c r="E54" s="184"/>
      <c r="F54" s="646"/>
      <c r="G54" s="638">
        <v>66</v>
      </c>
      <c r="H54" s="222">
        <v>79.2</v>
      </c>
      <c r="I54" s="202">
        <v>99.000000000000014</v>
      </c>
      <c r="J54" s="222">
        <v>118.80000000000001</v>
      </c>
      <c r="K54" s="202">
        <v>132</v>
      </c>
      <c r="L54" s="222">
        <v>158.4</v>
      </c>
      <c r="M54" s="202">
        <v>154</v>
      </c>
      <c r="N54" s="222">
        <v>184.8</v>
      </c>
      <c r="O54" s="202">
        <v>176</v>
      </c>
      <c r="P54" s="222">
        <v>211.20000000000002</v>
      </c>
      <c r="Q54" s="210">
        <v>44</v>
      </c>
      <c r="R54" s="251" t="s">
        <v>141</v>
      </c>
      <c r="S54" s="210">
        <v>66</v>
      </c>
      <c r="T54" s="259" t="s">
        <v>141</v>
      </c>
      <c r="U54" s="210" t="s">
        <v>141</v>
      </c>
      <c r="V54" s="259" t="s">
        <v>141</v>
      </c>
    </row>
    <row r="55" spans="2:22" ht="12.75" hidden="1" customHeight="1" outlineLevel="1">
      <c r="B55" s="855"/>
      <c r="C55" s="1009"/>
      <c r="D55" s="183" t="s">
        <v>120</v>
      </c>
      <c r="E55" s="184"/>
      <c r="F55" s="646"/>
      <c r="G55" s="638">
        <v>66</v>
      </c>
      <c r="H55" s="222">
        <v>79.2</v>
      </c>
      <c r="I55" s="202">
        <v>99.000000000000014</v>
      </c>
      <c r="J55" s="222">
        <v>118.80000000000001</v>
      </c>
      <c r="K55" s="202">
        <v>132</v>
      </c>
      <c r="L55" s="222">
        <v>158.4</v>
      </c>
      <c r="M55" s="202">
        <v>154</v>
      </c>
      <c r="N55" s="222">
        <v>184.8</v>
      </c>
      <c r="O55" s="202">
        <v>176</v>
      </c>
      <c r="P55" s="222">
        <v>211.20000000000002</v>
      </c>
      <c r="Q55" s="210">
        <v>44</v>
      </c>
      <c r="R55" s="251" t="s">
        <v>141</v>
      </c>
      <c r="S55" s="210">
        <v>66</v>
      </c>
      <c r="T55" s="259" t="s">
        <v>141</v>
      </c>
      <c r="U55" s="210" t="s">
        <v>141</v>
      </c>
      <c r="V55" s="259" t="s">
        <v>141</v>
      </c>
    </row>
    <row r="56" spans="2:22" ht="12.75" hidden="1" customHeight="1" outlineLevel="1">
      <c r="B56" s="855"/>
      <c r="C56" s="1009"/>
      <c r="D56" s="183" t="s">
        <v>167</v>
      </c>
      <c r="E56" s="184"/>
      <c r="F56" s="646"/>
      <c r="G56" s="638">
        <v>66</v>
      </c>
      <c r="H56" s="222">
        <v>79.2</v>
      </c>
      <c r="I56" s="202">
        <v>99.000000000000014</v>
      </c>
      <c r="J56" s="222">
        <v>118.80000000000001</v>
      </c>
      <c r="K56" s="202">
        <v>132</v>
      </c>
      <c r="L56" s="222">
        <v>158.4</v>
      </c>
      <c r="M56" s="202">
        <v>154</v>
      </c>
      <c r="N56" s="222">
        <v>184.8</v>
      </c>
      <c r="O56" s="202">
        <v>176</v>
      </c>
      <c r="P56" s="222">
        <v>211.20000000000002</v>
      </c>
      <c r="Q56" s="210">
        <v>44</v>
      </c>
      <c r="R56" s="251" t="s">
        <v>141</v>
      </c>
      <c r="S56" s="210">
        <v>66</v>
      </c>
      <c r="T56" s="259" t="s">
        <v>141</v>
      </c>
      <c r="U56" s="210" t="s">
        <v>141</v>
      </c>
      <c r="V56" s="259" t="s">
        <v>141</v>
      </c>
    </row>
    <row r="57" spans="2:22" ht="12.75" hidden="1" customHeight="1" outlineLevel="1">
      <c r="B57" s="855"/>
      <c r="C57" s="1009"/>
      <c r="D57" s="183" t="s">
        <v>158</v>
      </c>
      <c r="E57" s="184"/>
      <c r="F57" s="646"/>
      <c r="G57" s="638">
        <v>66</v>
      </c>
      <c r="H57" s="222">
        <v>79.2</v>
      </c>
      <c r="I57" s="202">
        <v>99.000000000000014</v>
      </c>
      <c r="J57" s="222">
        <v>118.80000000000001</v>
      </c>
      <c r="K57" s="202">
        <v>132</v>
      </c>
      <c r="L57" s="222">
        <v>158.4</v>
      </c>
      <c r="M57" s="202" t="s">
        <v>141</v>
      </c>
      <c r="N57" s="222" t="s">
        <v>141</v>
      </c>
      <c r="O57" s="202" t="s">
        <v>141</v>
      </c>
      <c r="P57" s="222" t="s">
        <v>141</v>
      </c>
      <c r="Q57" s="210" t="s">
        <v>141</v>
      </c>
      <c r="R57" s="251" t="s">
        <v>141</v>
      </c>
      <c r="S57" s="210" t="s">
        <v>141</v>
      </c>
      <c r="T57" s="259" t="s">
        <v>141</v>
      </c>
      <c r="U57" s="210" t="s">
        <v>141</v>
      </c>
      <c r="V57" s="259" t="s">
        <v>141</v>
      </c>
    </row>
    <row r="58" spans="2:22" ht="12.75" hidden="1" customHeight="1" outlineLevel="1">
      <c r="B58" s="855"/>
      <c r="C58" s="1009"/>
      <c r="D58" s="183" t="s">
        <v>156</v>
      </c>
      <c r="E58" s="184"/>
      <c r="F58" s="646"/>
      <c r="G58" s="638">
        <v>44</v>
      </c>
      <c r="H58" s="222">
        <v>52.800000000000004</v>
      </c>
      <c r="I58" s="202">
        <v>66</v>
      </c>
      <c r="J58" s="222">
        <v>79.2</v>
      </c>
      <c r="K58" s="202">
        <v>88</v>
      </c>
      <c r="L58" s="222">
        <v>105.60000000000001</v>
      </c>
      <c r="M58" s="202">
        <v>99.000000000000014</v>
      </c>
      <c r="N58" s="222">
        <v>118.80000000000001</v>
      </c>
      <c r="O58" s="202">
        <v>110.00000000000001</v>
      </c>
      <c r="P58" s="222">
        <v>132</v>
      </c>
      <c r="Q58" s="210">
        <v>33</v>
      </c>
      <c r="R58" s="251" t="s">
        <v>141</v>
      </c>
      <c r="S58" s="210">
        <v>44</v>
      </c>
      <c r="T58" s="259" t="s">
        <v>141</v>
      </c>
      <c r="U58" s="210" t="s">
        <v>141</v>
      </c>
      <c r="V58" s="259" t="s">
        <v>141</v>
      </c>
    </row>
    <row r="59" spans="2:22" ht="12.75" hidden="1" customHeight="1" outlineLevel="1">
      <c r="B59" s="855"/>
      <c r="C59" s="1009"/>
      <c r="D59" s="183" t="s">
        <v>121</v>
      </c>
      <c r="E59" s="184"/>
      <c r="F59" s="646"/>
      <c r="G59" s="638">
        <v>66</v>
      </c>
      <c r="H59" s="222">
        <v>79.2</v>
      </c>
      <c r="I59" s="202">
        <v>99.000000000000014</v>
      </c>
      <c r="J59" s="222">
        <v>118.80000000000001</v>
      </c>
      <c r="K59" s="202">
        <v>132</v>
      </c>
      <c r="L59" s="222">
        <v>158.4</v>
      </c>
      <c r="M59" s="202">
        <v>154</v>
      </c>
      <c r="N59" s="222">
        <v>184.8</v>
      </c>
      <c r="O59" s="202">
        <v>176</v>
      </c>
      <c r="P59" s="222">
        <v>211.20000000000002</v>
      </c>
      <c r="Q59" s="210">
        <v>44</v>
      </c>
      <c r="R59" s="251" t="s">
        <v>141</v>
      </c>
      <c r="S59" s="210">
        <v>66</v>
      </c>
      <c r="T59" s="259" t="s">
        <v>141</v>
      </c>
      <c r="U59" s="210" t="s">
        <v>141</v>
      </c>
      <c r="V59" s="259" t="s">
        <v>141</v>
      </c>
    </row>
    <row r="60" spans="2:22" ht="12.75" hidden="1" customHeight="1" outlineLevel="1">
      <c r="B60" s="855"/>
      <c r="C60" s="1009"/>
      <c r="D60" s="183" t="s">
        <v>151</v>
      </c>
      <c r="E60" s="184"/>
      <c r="F60" s="646"/>
      <c r="G60" s="638">
        <v>77</v>
      </c>
      <c r="H60" s="222">
        <v>92.4</v>
      </c>
      <c r="I60" s="202">
        <v>110.00000000000001</v>
      </c>
      <c r="J60" s="222">
        <v>132</v>
      </c>
      <c r="K60" s="202">
        <v>154</v>
      </c>
      <c r="L60" s="222">
        <v>184.8</v>
      </c>
      <c r="M60" s="202">
        <v>176</v>
      </c>
      <c r="N60" s="222">
        <v>211.20000000000002</v>
      </c>
      <c r="O60" s="202">
        <v>209.00000000000003</v>
      </c>
      <c r="P60" s="222">
        <v>250.8</v>
      </c>
      <c r="Q60" s="210">
        <v>55.000000000000007</v>
      </c>
      <c r="R60" s="251" t="s">
        <v>141</v>
      </c>
      <c r="S60" s="210">
        <v>77</v>
      </c>
      <c r="T60" s="259" t="s">
        <v>141</v>
      </c>
      <c r="U60" s="210" t="s">
        <v>141</v>
      </c>
      <c r="V60" s="259" t="s">
        <v>141</v>
      </c>
    </row>
    <row r="61" spans="2:22" ht="12.75" hidden="1" customHeight="1" outlineLevel="1">
      <c r="B61" s="855"/>
      <c r="C61" s="1009"/>
      <c r="D61" s="193" t="s">
        <v>163</v>
      </c>
      <c r="E61" s="194"/>
      <c r="F61" s="650"/>
      <c r="G61" s="643">
        <v>66</v>
      </c>
      <c r="H61" s="281">
        <v>79.2</v>
      </c>
      <c r="I61" s="280">
        <v>99.000000000000014</v>
      </c>
      <c r="J61" s="281">
        <v>118.80000000000001</v>
      </c>
      <c r="K61" s="280">
        <v>132</v>
      </c>
      <c r="L61" s="281">
        <v>158.4</v>
      </c>
      <c r="M61" s="280" t="s">
        <v>141</v>
      </c>
      <c r="N61" s="281" t="s">
        <v>141</v>
      </c>
      <c r="O61" s="280" t="s">
        <v>141</v>
      </c>
      <c r="P61" s="342" t="s">
        <v>141</v>
      </c>
      <c r="Q61" s="282">
        <v>44</v>
      </c>
      <c r="R61" s="283" t="s">
        <v>141</v>
      </c>
      <c r="S61" s="282">
        <v>66</v>
      </c>
      <c r="T61" s="284" t="s">
        <v>141</v>
      </c>
      <c r="U61" s="282" t="s">
        <v>141</v>
      </c>
      <c r="V61" s="284" t="s">
        <v>141</v>
      </c>
    </row>
    <row r="62" spans="2:22" ht="12.75" hidden="1" customHeight="1" outlineLevel="1">
      <c r="B62" s="855"/>
      <c r="C62" s="1009"/>
      <c r="D62" s="183" t="s">
        <v>147</v>
      </c>
      <c r="E62" s="184"/>
      <c r="F62" s="646"/>
      <c r="G62" s="638">
        <v>66</v>
      </c>
      <c r="H62" s="222">
        <v>79.2</v>
      </c>
      <c r="I62" s="202">
        <v>99.000000000000014</v>
      </c>
      <c r="J62" s="222">
        <v>118.80000000000001</v>
      </c>
      <c r="K62" s="202">
        <v>132</v>
      </c>
      <c r="L62" s="222">
        <v>158.4</v>
      </c>
      <c r="M62" s="202">
        <v>154</v>
      </c>
      <c r="N62" s="222">
        <v>184.8</v>
      </c>
      <c r="O62" s="202">
        <v>176</v>
      </c>
      <c r="P62" s="222">
        <v>211.20000000000002</v>
      </c>
      <c r="Q62" s="210" t="s">
        <v>141</v>
      </c>
      <c r="R62" s="251" t="s">
        <v>141</v>
      </c>
      <c r="S62" s="210" t="s">
        <v>141</v>
      </c>
      <c r="T62" s="259" t="s">
        <v>141</v>
      </c>
      <c r="U62" s="210" t="s">
        <v>141</v>
      </c>
      <c r="V62" s="259" t="s">
        <v>141</v>
      </c>
    </row>
    <row r="63" spans="2:22" ht="12.75" hidden="1" customHeight="1" outlineLevel="1">
      <c r="B63" s="855"/>
      <c r="C63" s="1009"/>
      <c r="D63" s="183" t="s">
        <v>536</v>
      </c>
      <c r="E63" s="184"/>
      <c r="F63" s="646"/>
      <c r="G63" s="638">
        <v>66</v>
      </c>
      <c r="H63" s="222">
        <v>79.2</v>
      </c>
      <c r="I63" s="202">
        <v>99</v>
      </c>
      <c r="J63" s="222">
        <v>118.8</v>
      </c>
      <c r="K63" s="202">
        <v>132</v>
      </c>
      <c r="L63" s="222">
        <v>158.4</v>
      </c>
      <c r="M63" s="202" t="s">
        <v>141</v>
      </c>
      <c r="N63" s="222" t="s">
        <v>141</v>
      </c>
      <c r="O63" s="202" t="s">
        <v>141</v>
      </c>
      <c r="P63" s="222" t="s">
        <v>141</v>
      </c>
      <c r="Q63" s="210" t="s">
        <v>141</v>
      </c>
      <c r="R63" s="251" t="s">
        <v>141</v>
      </c>
      <c r="S63" s="210" t="s">
        <v>141</v>
      </c>
      <c r="T63" s="259" t="s">
        <v>141</v>
      </c>
      <c r="U63" s="210" t="s">
        <v>141</v>
      </c>
      <c r="V63" s="259" t="s">
        <v>141</v>
      </c>
    </row>
    <row r="64" spans="2:22" ht="12.75" hidden="1" customHeight="1" outlineLevel="1">
      <c r="B64" s="855"/>
      <c r="C64" s="1009"/>
      <c r="D64" s="183" t="s">
        <v>535</v>
      </c>
      <c r="E64" s="184"/>
      <c r="F64" s="646"/>
      <c r="G64" s="638">
        <v>66</v>
      </c>
      <c r="H64" s="222">
        <v>79.2</v>
      </c>
      <c r="I64" s="202">
        <v>99</v>
      </c>
      <c r="J64" s="222">
        <v>118.8</v>
      </c>
      <c r="K64" s="202">
        <v>132</v>
      </c>
      <c r="L64" s="222">
        <v>158.4</v>
      </c>
      <c r="M64" s="202" t="s">
        <v>141</v>
      </c>
      <c r="N64" s="222" t="s">
        <v>141</v>
      </c>
      <c r="O64" s="202" t="s">
        <v>141</v>
      </c>
      <c r="P64" s="222" t="s">
        <v>141</v>
      </c>
      <c r="Q64" s="210" t="s">
        <v>141</v>
      </c>
      <c r="R64" s="251" t="s">
        <v>141</v>
      </c>
      <c r="S64" s="210" t="s">
        <v>141</v>
      </c>
      <c r="T64" s="259" t="s">
        <v>141</v>
      </c>
      <c r="U64" s="210" t="s">
        <v>141</v>
      </c>
      <c r="V64" s="259" t="s">
        <v>141</v>
      </c>
    </row>
    <row r="65" spans="2:22" ht="12.75" hidden="1" customHeight="1" outlineLevel="1">
      <c r="B65" s="855"/>
      <c r="C65" s="1009"/>
      <c r="D65" s="183" t="s">
        <v>534</v>
      </c>
      <c r="E65" s="184"/>
      <c r="F65" s="646"/>
      <c r="G65" s="638">
        <v>44</v>
      </c>
      <c r="H65" s="222">
        <v>52.800000000000004</v>
      </c>
      <c r="I65" s="202">
        <v>66</v>
      </c>
      <c r="J65" s="222">
        <v>79.2</v>
      </c>
      <c r="K65" s="202">
        <v>88</v>
      </c>
      <c r="L65" s="222">
        <v>105.60000000000001</v>
      </c>
      <c r="M65" s="202" t="s">
        <v>141</v>
      </c>
      <c r="N65" s="222" t="s">
        <v>141</v>
      </c>
      <c r="O65" s="202" t="s">
        <v>141</v>
      </c>
      <c r="P65" s="222" t="s">
        <v>141</v>
      </c>
      <c r="Q65" s="210" t="s">
        <v>141</v>
      </c>
      <c r="R65" s="251" t="s">
        <v>141</v>
      </c>
      <c r="S65" s="210" t="s">
        <v>141</v>
      </c>
      <c r="T65" s="259" t="s">
        <v>141</v>
      </c>
      <c r="U65" s="210" t="s">
        <v>141</v>
      </c>
      <c r="V65" s="259" t="s">
        <v>141</v>
      </c>
    </row>
    <row r="66" spans="2:22" ht="12.75" hidden="1" customHeight="1" outlineLevel="1">
      <c r="B66" s="855"/>
      <c r="C66" s="1009"/>
      <c r="D66" s="181" t="s">
        <v>152</v>
      </c>
      <c r="E66" s="182"/>
      <c r="F66" s="649"/>
      <c r="G66" s="642">
        <v>77</v>
      </c>
      <c r="H66" s="341">
        <v>92.4</v>
      </c>
      <c r="I66" s="340">
        <v>110.00000000000001</v>
      </c>
      <c r="J66" s="341">
        <v>132</v>
      </c>
      <c r="K66" s="340">
        <v>154</v>
      </c>
      <c r="L66" s="341">
        <v>184.8</v>
      </c>
      <c r="M66" s="340">
        <v>176</v>
      </c>
      <c r="N66" s="341">
        <v>211.20000000000002</v>
      </c>
      <c r="O66" s="340">
        <v>209.00000000000003</v>
      </c>
      <c r="P66" s="341">
        <v>250.8</v>
      </c>
      <c r="Q66" s="242">
        <v>55.000000000000007</v>
      </c>
      <c r="R66" s="252" t="s">
        <v>141</v>
      </c>
      <c r="S66" s="242">
        <v>77</v>
      </c>
      <c r="T66" s="255" t="s">
        <v>141</v>
      </c>
      <c r="U66" s="242" t="s">
        <v>141</v>
      </c>
      <c r="V66" s="255" t="s">
        <v>141</v>
      </c>
    </row>
    <row r="67" spans="2:22" ht="52.5" customHeight="1" collapsed="1">
      <c r="B67" s="855"/>
      <c r="C67" s="1010"/>
      <c r="D67" s="1030" t="str">
        <f>D50&amp;", "&amp;D51&amp;", "&amp;D52&amp;", "&amp;D53&amp;", "&amp;D54&amp;", "&amp;D55&amp;", "&amp;D56&amp;", "&amp;D57&amp;", "&amp;D58&amp;", "&amp;D59&amp;", "&amp;D60&amp;", "&amp;D61&amp;", "&amp;D62&amp;", "&amp;D63&amp;", "&amp;D64&amp;", "&amp;D65&amp;", "&amp;D66</f>
        <v>WP abcZdrowie, WP Dom, WP Facet, WP Kobieta, Kafeteria.pl, WP Kuchnia, WP Parenting, WP Pilot, WP Program TV, WP Turystyka, WP Wroclaw, OpenFM, Praca.money.pl, genialne.pl, pysznosci.pl, Vibez.pl, Wawalove</v>
      </c>
      <c r="E67" s="1031"/>
      <c r="F67" s="626"/>
      <c r="G67" s="641">
        <v>49.500000000000007</v>
      </c>
      <c r="H67" s="217">
        <v>59.400000000000006</v>
      </c>
      <c r="I67" s="206">
        <v>74.800000000000011</v>
      </c>
      <c r="J67" s="217">
        <v>89.100000000000009</v>
      </c>
      <c r="K67" s="206">
        <v>99.000000000000014</v>
      </c>
      <c r="L67" s="217">
        <v>118.80000000000001</v>
      </c>
      <c r="M67" s="201">
        <v>115.50000000000001</v>
      </c>
      <c r="N67" s="217">
        <v>137.5</v>
      </c>
      <c r="O67" s="201">
        <v>132</v>
      </c>
      <c r="P67" s="217">
        <v>158.4</v>
      </c>
      <c r="Q67" s="237">
        <v>37.400000000000006</v>
      </c>
      <c r="R67" s="246" t="s">
        <v>141</v>
      </c>
      <c r="S67" s="237">
        <v>49.500000000000007</v>
      </c>
      <c r="T67" s="265" t="s">
        <v>141</v>
      </c>
      <c r="U67" s="237" t="s">
        <v>141</v>
      </c>
      <c r="V67" s="265" t="s">
        <v>141</v>
      </c>
    </row>
    <row r="68" spans="2:22" ht="12.75" hidden="1" customHeight="1" outlineLevel="1">
      <c r="B68" s="855"/>
      <c r="C68" s="1035" t="str">
        <f>IF('Język - Language'!$B$30="Polski","TECHNOLOGIA","TECHNOLOGY")</f>
        <v>TECHNOLOGIA</v>
      </c>
      <c r="D68" s="179" t="s">
        <v>168</v>
      </c>
      <c r="E68" s="180"/>
      <c r="F68" s="645"/>
      <c r="G68" s="637">
        <v>66</v>
      </c>
      <c r="H68" s="221">
        <v>79.2</v>
      </c>
      <c r="I68" s="200">
        <v>99.000000000000014</v>
      </c>
      <c r="J68" s="221">
        <v>118.80000000000001</v>
      </c>
      <c r="K68" s="200">
        <v>132</v>
      </c>
      <c r="L68" s="221">
        <v>158.4</v>
      </c>
      <c r="M68" s="200">
        <v>154</v>
      </c>
      <c r="N68" s="221">
        <v>184.8</v>
      </c>
      <c r="O68" s="200">
        <v>176</v>
      </c>
      <c r="P68" s="221">
        <v>211.20000000000002</v>
      </c>
      <c r="Q68" s="200">
        <v>44</v>
      </c>
      <c r="R68" s="250" t="s">
        <v>141</v>
      </c>
      <c r="S68" s="200">
        <v>66</v>
      </c>
      <c r="T68" s="258" t="s">
        <v>141</v>
      </c>
      <c r="U68" s="200" t="s">
        <v>141</v>
      </c>
      <c r="V68" s="258" t="s">
        <v>141</v>
      </c>
    </row>
    <row r="69" spans="2:22" ht="12.75" hidden="1" customHeight="1" outlineLevel="1">
      <c r="B69" s="855"/>
      <c r="C69" s="1005"/>
      <c r="D69" s="183" t="s">
        <v>153</v>
      </c>
      <c r="E69" s="184"/>
      <c r="F69" s="646"/>
      <c r="G69" s="638">
        <v>66</v>
      </c>
      <c r="H69" s="222">
        <v>79.2</v>
      </c>
      <c r="I69" s="202">
        <v>99.000000000000014</v>
      </c>
      <c r="J69" s="222">
        <v>118.80000000000001</v>
      </c>
      <c r="K69" s="202">
        <v>132</v>
      </c>
      <c r="L69" s="222">
        <v>158.4</v>
      </c>
      <c r="M69" s="202">
        <v>154</v>
      </c>
      <c r="N69" s="222">
        <v>184.8</v>
      </c>
      <c r="O69" s="202">
        <v>176</v>
      </c>
      <c r="P69" s="222">
        <v>211.20000000000002</v>
      </c>
      <c r="Q69" s="202">
        <v>44</v>
      </c>
      <c r="R69" s="251" t="s">
        <v>141</v>
      </c>
      <c r="S69" s="202">
        <v>66</v>
      </c>
      <c r="T69" s="259" t="s">
        <v>141</v>
      </c>
      <c r="U69" s="202" t="s">
        <v>141</v>
      </c>
      <c r="V69" s="259" t="s">
        <v>141</v>
      </c>
    </row>
    <row r="70" spans="2:22" ht="12.75" hidden="1" customHeight="1" outlineLevel="1">
      <c r="B70" s="855"/>
      <c r="C70" s="1005"/>
      <c r="D70" s="183" t="s">
        <v>116</v>
      </c>
      <c r="E70" s="184"/>
      <c r="F70" s="646"/>
      <c r="G70" s="638">
        <v>66</v>
      </c>
      <c r="H70" s="222">
        <v>79.2</v>
      </c>
      <c r="I70" s="202">
        <v>99.000000000000014</v>
      </c>
      <c r="J70" s="222">
        <v>118.80000000000001</v>
      </c>
      <c r="K70" s="202">
        <v>132</v>
      </c>
      <c r="L70" s="222">
        <v>158.4</v>
      </c>
      <c r="M70" s="202">
        <v>154</v>
      </c>
      <c r="N70" s="222">
        <v>184.8</v>
      </c>
      <c r="O70" s="202">
        <v>176</v>
      </c>
      <c r="P70" s="222">
        <v>211.20000000000002</v>
      </c>
      <c r="Q70" s="202">
        <v>44</v>
      </c>
      <c r="R70" s="251" t="s">
        <v>141</v>
      </c>
      <c r="S70" s="202">
        <v>66</v>
      </c>
      <c r="T70" s="259" t="s">
        <v>141</v>
      </c>
      <c r="U70" s="202" t="s">
        <v>141</v>
      </c>
      <c r="V70" s="259" t="s">
        <v>141</v>
      </c>
    </row>
    <row r="71" spans="2:22" ht="12.75" hidden="1" customHeight="1" outlineLevel="1">
      <c r="B71" s="855"/>
      <c r="C71" s="1005"/>
      <c r="D71" s="183" t="s">
        <v>114</v>
      </c>
      <c r="E71" s="184"/>
      <c r="F71" s="646"/>
      <c r="G71" s="638">
        <v>66</v>
      </c>
      <c r="H71" s="222">
        <v>79.2</v>
      </c>
      <c r="I71" s="202">
        <v>99.000000000000014</v>
      </c>
      <c r="J71" s="222">
        <v>118.80000000000001</v>
      </c>
      <c r="K71" s="202">
        <v>132</v>
      </c>
      <c r="L71" s="222">
        <v>158.4</v>
      </c>
      <c r="M71" s="202">
        <v>154</v>
      </c>
      <c r="N71" s="222">
        <v>184.8</v>
      </c>
      <c r="O71" s="202">
        <v>176</v>
      </c>
      <c r="P71" s="222">
        <v>211.20000000000002</v>
      </c>
      <c r="Q71" s="202">
        <v>44</v>
      </c>
      <c r="R71" s="251" t="s">
        <v>141</v>
      </c>
      <c r="S71" s="202">
        <v>66</v>
      </c>
      <c r="T71" s="259" t="s">
        <v>141</v>
      </c>
      <c r="U71" s="202" t="s">
        <v>141</v>
      </c>
      <c r="V71" s="259" t="s">
        <v>141</v>
      </c>
    </row>
    <row r="72" spans="2:22" ht="12.75" hidden="1" customHeight="1" outlineLevel="1">
      <c r="B72" s="855"/>
      <c r="C72" s="1005"/>
      <c r="D72" s="183" t="s">
        <v>115</v>
      </c>
      <c r="E72" s="184"/>
      <c r="F72" s="646"/>
      <c r="G72" s="638">
        <v>66</v>
      </c>
      <c r="H72" s="222">
        <v>79.2</v>
      </c>
      <c r="I72" s="202">
        <v>99.000000000000014</v>
      </c>
      <c r="J72" s="222">
        <v>118.80000000000001</v>
      </c>
      <c r="K72" s="202">
        <v>132</v>
      </c>
      <c r="L72" s="222">
        <v>158.4</v>
      </c>
      <c r="M72" s="202">
        <v>154</v>
      </c>
      <c r="N72" s="222">
        <v>184.8</v>
      </c>
      <c r="O72" s="202">
        <v>176</v>
      </c>
      <c r="P72" s="222">
        <v>211.20000000000002</v>
      </c>
      <c r="Q72" s="202">
        <v>44</v>
      </c>
      <c r="R72" s="251" t="s">
        <v>141</v>
      </c>
      <c r="S72" s="202">
        <v>66</v>
      </c>
      <c r="T72" s="259" t="s">
        <v>141</v>
      </c>
      <c r="U72" s="202" t="s">
        <v>141</v>
      </c>
      <c r="V72" s="259" t="s">
        <v>141</v>
      </c>
    </row>
    <row r="73" spans="2:22" ht="12.75" hidden="1" customHeight="1" outlineLevel="1">
      <c r="B73" s="855"/>
      <c r="C73" s="1005"/>
      <c r="D73" s="183" t="s">
        <v>520</v>
      </c>
      <c r="E73" s="184"/>
      <c r="F73" s="646"/>
      <c r="G73" s="638">
        <v>66</v>
      </c>
      <c r="H73" s="222">
        <v>79.2</v>
      </c>
      <c r="I73" s="202">
        <v>99</v>
      </c>
      <c r="J73" s="222">
        <v>118.8</v>
      </c>
      <c r="K73" s="202">
        <v>132</v>
      </c>
      <c r="L73" s="222">
        <v>158.4</v>
      </c>
      <c r="M73" s="202">
        <v>154</v>
      </c>
      <c r="N73" s="222">
        <v>184.8</v>
      </c>
      <c r="O73" s="202">
        <v>176</v>
      </c>
      <c r="P73" s="222">
        <v>211.2</v>
      </c>
      <c r="Q73" s="202">
        <v>44</v>
      </c>
      <c r="R73" s="251" t="s">
        <v>141</v>
      </c>
      <c r="S73" s="202">
        <v>66</v>
      </c>
      <c r="T73" s="259" t="s">
        <v>141</v>
      </c>
      <c r="U73" s="202" t="s">
        <v>141</v>
      </c>
      <c r="V73" s="259" t="s">
        <v>141</v>
      </c>
    </row>
    <row r="74" spans="2:22" ht="12.75" hidden="1" customHeight="1" outlineLevel="1">
      <c r="B74" s="855"/>
      <c r="C74" s="1005"/>
      <c r="D74" s="183" t="s">
        <v>169</v>
      </c>
      <c r="E74" s="184"/>
      <c r="F74" s="646"/>
      <c r="G74" s="638">
        <v>66</v>
      </c>
      <c r="H74" s="222">
        <v>79.2</v>
      </c>
      <c r="I74" s="202">
        <v>99.000000000000014</v>
      </c>
      <c r="J74" s="222">
        <v>118.80000000000001</v>
      </c>
      <c r="K74" s="202">
        <v>132</v>
      </c>
      <c r="L74" s="222">
        <v>158.4</v>
      </c>
      <c r="M74" s="202">
        <v>154</v>
      </c>
      <c r="N74" s="222">
        <v>184.8</v>
      </c>
      <c r="O74" s="202">
        <v>176</v>
      </c>
      <c r="P74" s="222">
        <v>211.20000000000002</v>
      </c>
      <c r="Q74" s="202">
        <v>44</v>
      </c>
      <c r="R74" s="251" t="s">
        <v>141</v>
      </c>
      <c r="S74" s="202">
        <v>66</v>
      </c>
      <c r="T74" s="259" t="s">
        <v>141</v>
      </c>
      <c r="U74" s="202" t="s">
        <v>141</v>
      </c>
      <c r="V74" s="259" t="s">
        <v>141</v>
      </c>
    </row>
    <row r="75" spans="2:22" ht="12.75" hidden="1" customHeight="1" outlineLevel="1">
      <c r="B75" s="855"/>
      <c r="C75" s="1005"/>
      <c r="D75" s="181" t="s">
        <v>160</v>
      </c>
      <c r="E75" s="182"/>
      <c r="F75" s="649"/>
      <c r="G75" s="642">
        <v>66</v>
      </c>
      <c r="H75" s="341">
        <v>79.2</v>
      </c>
      <c r="I75" s="340">
        <v>99.000000000000014</v>
      </c>
      <c r="J75" s="341">
        <v>118.80000000000001</v>
      </c>
      <c r="K75" s="340">
        <v>132</v>
      </c>
      <c r="L75" s="341">
        <v>158.4</v>
      </c>
      <c r="M75" s="340">
        <v>154</v>
      </c>
      <c r="N75" s="341">
        <v>184.8</v>
      </c>
      <c r="O75" s="340">
        <v>176</v>
      </c>
      <c r="P75" s="341">
        <v>211.20000000000002</v>
      </c>
      <c r="Q75" s="340">
        <v>44</v>
      </c>
      <c r="R75" s="252" t="s">
        <v>141</v>
      </c>
      <c r="S75" s="340">
        <v>66</v>
      </c>
      <c r="T75" s="260" t="s">
        <v>141</v>
      </c>
      <c r="U75" s="340" t="s">
        <v>141</v>
      </c>
      <c r="V75" s="260" t="s">
        <v>141</v>
      </c>
    </row>
    <row r="76" spans="2:22" ht="36" customHeight="1" collapsed="1">
      <c r="B76" s="855"/>
      <c r="C76" s="1036"/>
      <c r="D76" s="1030" t="str">
        <f>D68&amp;", "&amp;D69&amp;", "&amp;D70&amp;", "&amp;D71&amp;", "&amp;D72&amp;", "&amp;D73&amp;", "&amp;D74&amp;", "&amp;D75</f>
        <v>WP Tech, WP Gry, WP Fotoblogia, WP Gadżetomania, WP Komórkomania, benchmark.pl, dobreprogramy.pl³, polygamia.pl</v>
      </c>
      <c r="E76" s="1031"/>
      <c r="F76" s="626"/>
      <c r="G76" s="641">
        <v>49.500000000000007</v>
      </c>
      <c r="H76" s="216">
        <v>59.400000000000006</v>
      </c>
      <c r="I76" s="206">
        <v>74.800000000000011</v>
      </c>
      <c r="J76" s="216">
        <v>89.100000000000009</v>
      </c>
      <c r="K76" s="206">
        <v>99.000000000000014</v>
      </c>
      <c r="L76" s="216">
        <v>118.80000000000001</v>
      </c>
      <c r="M76" s="201">
        <v>115.50000000000001</v>
      </c>
      <c r="N76" s="217">
        <v>137.5</v>
      </c>
      <c r="O76" s="201">
        <v>132</v>
      </c>
      <c r="P76" s="216">
        <v>158.4</v>
      </c>
      <c r="Q76" s="237">
        <v>37.400000000000006</v>
      </c>
      <c r="R76" s="253" t="s">
        <v>141</v>
      </c>
      <c r="S76" s="207">
        <v>49.500000000000007</v>
      </c>
      <c r="T76" s="265" t="s">
        <v>141</v>
      </c>
      <c r="U76" s="207" t="s">
        <v>141</v>
      </c>
      <c r="V76" s="265" t="s">
        <v>141</v>
      </c>
    </row>
    <row r="77" spans="2:22" ht="12.75" hidden="1" customHeight="1" outlineLevel="1">
      <c r="B77" s="855"/>
      <c r="C77" s="1037" t="str">
        <f>IF('Język - Language'!$B$30="Polski","ZDROWIE I PARENTING","HEALTH AND PARENTING")</f>
        <v>ZDROWIE I PARENTING</v>
      </c>
      <c r="D77" s="179" t="s">
        <v>122</v>
      </c>
      <c r="E77" s="180"/>
      <c r="F77" s="645"/>
      <c r="G77" s="637">
        <v>121.00000000000001</v>
      </c>
      <c r="H77" s="221">
        <v>145.20000000000002</v>
      </c>
      <c r="I77" s="200">
        <v>176</v>
      </c>
      <c r="J77" s="221">
        <v>211.20000000000002</v>
      </c>
      <c r="K77" s="200">
        <v>231.00000000000003</v>
      </c>
      <c r="L77" s="221">
        <v>277.20000000000005</v>
      </c>
      <c r="M77" s="200">
        <v>264</v>
      </c>
      <c r="N77" s="221">
        <v>316.8</v>
      </c>
      <c r="O77" s="200">
        <v>297</v>
      </c>
      <c r="P77" s="221">
        <v>356.40000000000003</v>
      </c>
      <c r="Q77" s="200">
        <v>88</v>
      </c>
      <c r="R77" s="250" t="s">
        <v>141</v>
      </c>
      <c r="S77" s="200">
        <v>121.00000000000001</v>
      </c>
      <c r="T77" s="258" t="s">
        <v>141</v>
      </c>
      <c r="U77" s="200" t="s">
        <v>141</v>
      </c>
      <c r="V77" s="258" t="s">
        <v>141</v>
      </c>
    </row>
    <row r="78" spans="2:22" ht="12.75" hidden="1" customHeight="1" outlineLevel="1">
      <c r="B78" s="855"/>
      <c r="C78" s="1009"/>
      <c r="D78" s="183" t="s">
        <v>170</v>
      </c>
      <c r="E78" s="184"/>
      <c r="F78" s="646"/>
      <c r="G78" s="638">
        <v>121.00000000000001</v>
      </c>
      <c r="H78" s="222">
        <v>145.20000000000002</v>
      </c>
      <c r="I78" s="202">
        <v>176</v>
      </c>
      <c r="J78" s="222">
        <v>211.20000000000002</v>
      </c>
      <c r="K78" s="202">
        <v>231.00000000000003</v>
      </c>
      <c r="L78" s="222">
        <v>277.20000000000005</v>
      </c>
      <c r="M78" s="202">
        <v>264</v>
      </c>
      <c r="N78" s="222">
        <v>316.8</v>
      </c>
      <c r="O78" s="202">
        <v>297</v>
      </c>
      <c r="P78" s="222">
        <v>356.40000000000003</v>
      </c>
      <c r="Q78" s="202">
        <v>88</v>
      </c>
      <c r="R78" s="251" t="s">
        <v>141</v>
      </c>
      <c r="S78" s="202">
        <v>121.00000000000001</v>
      </c>
      <c r="T78" s="259" t="s">
        <v>141</v>
      </c>
      <c r="U78" s="202" t="s">
        <v>141</v>
      </c>
      <c r="V78" s="259" t="s">
        <v>141</v>
      </c>
    </row>
    <row r="79" spans="2:22" ht="12.75" hidden="1" customHeight="1" outlineLevel="1">
      <c r="B79" s="855"/>
      <c r="C79" s="1009"/>
      <c r="D79" s="183" t="s">
        <v>167</v>
      </c>
      <c r="E79" s="184"/>
      <c r="F79" s="646"/>
      <c r="G79" s="638">
        <v>121.00000000000001</v>
      </c>
      <c r="H79" s="222">
        <v>145.20000000000002</v>
      </c>
      <c r="I79" s="202">
        <v>176</v>
      </c>
      <c r="J79" s="222">
        <v>211.20000000000002</v>
      </c>
      <c r="K79" s="202">
        <v>231.00000000000003</v>
      </c>
      <c r="L79" s="222">
        <v>277.20000000000005</v>
      </c>
      <c r="M79" s="202">
        <v>264</v>
      </c>
      <c r="N79" s="222">
        <v>316.8</v>
      </c>
      <c r="O79" s="202">
        <v>297</v>
      </c>
      <c r="P79" s="222">
        <v>356.40000000000003</v>
      </c>
      <c r="Q79" s="202">
        <v>88</v>
      </c>
      <c r="R79" s="251" t="s">
        <v>141</v>
      </c>
      <c r="S79" s="202">
        <v>121.00000000000001</v>
      </c>
      <c r="T79" s="259" t="s">
        <v>141</v>
      </c>
      <c r="U79" s="202" t="s">
        <v>141</v>
      </c>
      <c r="V79" s="259" t="s">
        <v>141</v>
      </c>
    </row>
    <row r="80" spans="2:22" ht="12.75" hidden="1" customHeight="1" outlineLevel="1">
      <c r="B80" s="855"/>
      <c r="C80" s="1009"/>
      <c r="D80" s="183" t="s">
        <v>171</v>
      </c>
      <c r="E80" s="184"/>
      <c r="F80" s="646"/>
      <c r="G80" s="638">
        <v>121.00000000000001</v>
      </c>
      <c r="H80" s="222">
        <v>145.20000000000002</v>
      </c>
      <c r="I80" s="202">
        <v>176</v>
      </c>
      <c r="J80" s="222">
        <v>211.20000000000002</v>
      </c>
      <c r="K80" s="202">
        <v>231.00000000000003</v>
      </c>
      <c r="L80" s="222">
        <v>277.20000000000005</v>
      </c>
      <c r="M80" s="202">
        <v>264</v>
      </c>
      <c r="N80" s="222">
        <v>316.8</v>
      </c>
      <c r="O80" s="202">
        <v>297</v>
      </c>
      <c r="P80" s="222">
        <v>356.40000000000003</v>
      </c>
      <c r="Q80" s="202">
        <v>88</v>
      </c>
      <c r="R80" s="251" t="s">
        <v>141</v>
      </c>
      <c r="S80" s="202">
        <v>121.00000000000001</v>
      </c>
      <c r="T80" s="259" t="s">
        <v>141</v>
      </c>
      <c r="U80" s="202" t="s">
        <v>141</v>
      </c>
      <c r="V80" s="259" t="s">
        <v>141</v>
      </c>
    </row>
    <row r="81" spans="2:22" ht="12.75" hidden="1" customHeight="1" outlineLevel="1">
      <c r="B81" s="855"/>
      <c r="C81" s="1009"/>
      <c r="D81" s="181" t="s">
        <v>172</v>
      </c>
      <c r="E81" s="182"/>
      <c r="F81" s="649"/>
      <c r="G81" s="640">
        <v>121.00000000000001</v>
      </c>
      <c r="H81" s="223">
        <v>145.20000000000002</v>
      </c>
      <c r="I81" s="204">
        <v>176</v>
      </c>
      <c r="J81" s="223">
        <v>211.20000000000002</v>
      </c>
      <c r="K81" s="204">
        <v>231.00000000000003</v>
      </c>
      <c r="L81" s="223">
        <v>277.20000000000005</v>
      </c>
      <c r="M81" s="204">
        <v>264</v>
      </c>
      <c r="N81" s="223">
        <v>316.8</v>
      </c>
      <c r="O81" s="204">
        <v>297</v>
      </c>
      <c r="P81" s="223">
        <v>356.40000000000003</v>
      </c>
      <c r="Q81" s="204">
        <v>88</v>
      </c>
      <c r="R81" s="247" t="s">
        <v>141</v>
      </c>
      <c r="S81" s="204">
        <v>121.00000000000001</v>
      </c>
      <c r="T81" s="255" t="s">
        <v>141</v>
      </c>
      <c r="U81" s="204" t="s">
        <v>141</v>
      </c>
      <c r="V81" s="255" t="s">
        <v>141</v>
      </c>
    </row>
    <row r="82" spans="2:22" ht="36" customHeight="1" collapsed="1">
      <c r="B82" s="855"/>
      <c r="C82" s="1010"/>
      <c r="D82" s="1045" t="str">
        <f>D77&amp;", "&amp;D78&amp;", "&amp;D79&amp;", "&amp;D80&amp;", "&amp;D81</f>
        <v>WP abcZdrowie, WP Fitness, WP Parenting, Medycyna24, Nerwica.com</v>
      </c>
      <c r="E82" s="1046"/>
      <c r="F82" s="651"/>
      <c r="G82" s="620">
        <v>91.300000000000011</v>
      </c>
      <c r="H82" s="218">
        <v>108.9</v>
      </c>
      <c r="I82" s="196">
        <v>132</v>
      </c>
      <c r="J82" s="218">
        <v>158.4</v>
      </c>
      <c r="K82" s="196">
        <v>181.50000000000003</v>
      </c>
      <c r="L82" s="218">
        <v>217.8</v>
      </c>
      <c r="M82" s="208">
        <v>198.00000000000003</v>
      </c>
      <c r="N82" s="218">
        <v>242.00000000000003</v>
      </c>
      <c r="O82" s="208">
        <v>231.00000000000003</v>
      </c>
      <c r="P82" s="218">
        <v>277.20000000000005</v>
      </c>
      <c r="Q82" s="237">
        <v>66</v>
      </c>
      <c r="R82" s="253" t="s">
        <v>141</v>
      </c>
      <c r="S82" s="207">
        <v>91.300000000000011</v>
      </c>
      <c r="T82" s="266" t="s">
        <v>141</v>
      </c>
      <c r="U82" s="207" t="s">
        <v>141</v>
      </c>
      <c r="V82" s="266" t="s">
        <v>141</v>
      </c>
    </row>
    <row r="83" spans="2:22" ht="12.75" hidden="1" customHeight="1" outlineLevel="1">
      <c r="B83" s="855"/>
      <c r="C83" s="1037" t="str">
        <f>IF('Język - Language'!$B$30="Polski","WIDEO I AUDIO","VIDEO AND AUDIO")</f>
        <v>WIDEO I AUDIO</v>
      </c>
      <c r="D83" s="187" t="s">
        <v>158</v>
      </c>
      <c r="E83" s="188"/>
      <c r="F83" s="652"/>
      <c r="G83" s="243">
        <v>66</v>
      </c>
      <c r="H83" s="219">
        <v>79.2</v>
      </c>
      <c r="I83" s="198">
        <v>99.000000000000014</v>
      </c>
      <c r="J83" s="219">
        <v>118.80000000000001</v>
      </c>
      <c r="K83" s="198">
        <v>132</v>
      </c>
      <c r="L83" s="219">
        <v>158.4</v>
      </c>
      <c r="M83" s="198" t="s">
        <v>141</v>
      </c>
      <c r="N83" s="219" t="s">
        <v>141</v>
      </c>
      <c r="O83" s="198" t="s">
        <v>141</v>
      </c>
      <c r="P83" s="199" t="s">
        <v>141</v>
      </c>
      <c r="Q83" s="198" t="s">
        <v>141</v>
      </c>
      <c r="R83" s="250" t="s">
        <v>141</v>
      </c>
      <c r="S83" s="243" t="s">
        <v>141</v>
      </c>
      <c r="T83" s="268" t="s">
        <v>141</v>
      </c>
      <c r="U83" s="243" t="s">
        <v>141</v>
      </c>
      <c r="V83" s="268" t="s">
        <v>141</v>
      </c>
    </row>
    <row r="84" spans="2:22" ht="12.75" hidden="1" customHeight="1" outlineLevel="1">
      <c r="B84" s="855"/>
      <c r="C84" s="1009"/>
      <c r="D84" s="189" t="s">
        <v>159</v>
      </c>
      <c r="E84" s="190"/>
      <c r="F84" s="653"/>
      <c r="G84" s="244">
        <v>66</v>
      </c>
      <c r="H84" s="224">
        <v>79.2</v>
      </c>
      <c r="I84" s="210">
        <v>99.000000000000014</v>
      </c>
      <c r="J84" s="224">
        <v>118.80000000000001</v>
      </c>
      <c r="K84" s="210">
        <v>132</v>
      </c>
      <c r="L84" s="224">
        <v>158.4</v>
      </c>
      <c r="M84" s="210">
        <v>154</v>
      </c>
      <c r="N84" s="224">
        <v>184.8</v>
      </c>
      <c r="O84" s="210" t="s">
        <v>141</v>
      </c>
      <c r="P84" s="211" t="s">
        <v>141</v>
      </c>
      <c r="Q84" s="210" t="s">
        <v>141</v>
      </c>
      <c r="R84" s="251" t="s">
        <v>141</v>
      </c>
      <c r="S84" s="244" t="s">
        <v>141</v>
      </c>
      <c r="T84" s="269" t="s">
        <v>141</v>
      </c>
      <c r="U84" s="244" t="s">
        <v>141</v>
      </c>
      <c r="V84" s="269" t="s">
        <v>141</v>
      </c>
    </row>
    <row r="85" spans="2:22" ht="12.75" hidden="1" customHeight="1" outlineLevel="1">
      <c r="B85" s="855"/>
      <c r="C85" s="1009"/>
      <c r="D85" s="185" t="s">
        <v>163</v>
      </c>
      <c r="E85" s="186"/>
      <c r="F85" s="654"/>
      <c r="G85" s="245">
        <v>66</v>
      </c>
      <c r="H85" s="220">
        <v>79.2</v>
      </c>
      <c r="I85" s="212">
        <v>99.000000000000014</v>
      </c>
      <c r="J85" s="220">
        <v>118.80000000000001</v>
      </c>
      <c r="K85" s="212">
        <v>132</v>
      </c>
      <c r="L85" s="220">
        <v>158.4</v>
      </c>
      <c r="M85" s="212" t="s">
        <v>141</v>
      </c>
      <c r="N85" s="220" t="s">
        <v>141</v>
      </c>
      <c r="O85" s="212" t="s">
        <v>141</v>
      </c>
      <c r="P85" s="213" t="s">
        <v>141</v>
      </c>
      <c r="Q85" s="242" t="s">
        <v>141</v>
      </c>
      <c r="R85" s="252" t="s">
        <v>141</v>
      </c>
      <c r="S85" s="226" t="s">
        <v>141</v>
      </c>
      <c r="T85" s="270" t="s">
        <v>141</v>
      </c>
      <c r="U85" s="226" t="s">
        <v>141</v>
      </c>
      <c r="V85" s="270" t="s">
        <v>141</v>
      </c>
    </row>
    <row r="86" spans="2:22" ht="36" customHeight="1" collapsed="1">
      <c r="B86" s="855"/>
      <c r="C86" s="1010"/>
      <c r="D86" s="1045" t="str">
        <f>D83&amp;", "&amp;D84&amp;", "&amp;D85</f>
        <v>WP Pilot, WP Wideo, OpenFM</v>
      </c>
      <c r="E86" s="1046"/>
      <c r="F86" s="651"/>
      <c r="G86" s="620">
        <v>49.500000000000007</v>
      </c>
      <c r="H86" s="215">
        <v>59.400000000000006</v>
      </c>
      <c r="I86" s="196">
        <v>74.800000000000011</v>
      </c>
      <c r="J86" s="215">
        <v>89.100000000000009</v>
      </c>
      <c r="K86" s="196">
        <v>99.000000000000014</v>
      </c>
      <c r="L86" s="215">
        <v>118.80000000000001</v>
      </c>
      <c r="M86" s="201">
        <v>115.50000000000001</v>
      </c>
      <c r="N86" s="217">
        <v>137.5</v>
      </c>
      <c r="O86" s="208" t="s">
        <v>141</v>
      </c>
      <c r="P86" s="209" t="s">
        <v>141</v>
      </c>
      <c r="Q86" s="237">
        <v>37.400000000000006</v>
      </c>
      <c r="R86" s="246" t="s">
        <v>141</v>
      </c>
      <c r="S86" s="207">
        <v>49.500000000000007</v>
      </c>
      <c r="T86" s="267" t="s">
        <v>141</v>
      </c>
      <c r="U86" s="207" t="s">
        <v>141</v>
      </c>
      <c r="V86" s="267" t="s">
        <v>141</v>
      </c>
    </row>
    <row r="87" spans="2:22" ht="12.75" hidden="1" customHeight="1" outlineLevel="1">
      <c r="B87" s="855"/>
      <c r="C87" s="1035" t="str">
        <f>IF('Język - Language'!$B$30="Polski","PAKIET SPECJALNY 'KOBIETA'","DEDICATED PACKAGE 'WOMAN'")</f>
        <v>PAKIET SPECJALNY 'KOBIETA'</v>
      </c>
      <c r="D87" s="187" t="s">
        <v>166</v>
      </c>
      <c r="E87" s="188"/>
      <c r="F87" s="652"/>
      <c r="G87" s="243">
        <v>66</v>
      </c>
      <c r="H87" s="219">
        <v>79.2</v>
      </c>
      <c r="I87" s="198">
        <v>99.000000000000014</v>
      </c>
      <c r="J87" s="219">
        <v>118.80000000000001</v>
      </c>
      <c r="K87" s="198">
        <v>132</v>
      </c>
      <c r="L87" s="219">
        <v>158.4</v>
      </c>
      <c r="M87" s="198">
        <v>154</v>
      </c>
      <c r="N87" s="219">
        <v>184.8</v>
      </c>
      <c r="O87" s="198">
        <v>176</v>
      </c>
      <c r="P87" s="219">
        <v>211.20000000000002</v>
      </c>
      <c r="Q87" s="198">
        <v>44</v>
      </c>
      <c r="R87" s="250" t="s">
        <v>141</v>
      </c>
      <c r="S87" s="198">
        <v>66</v>
      </c>
      <c r="T87" s="268" t="s">
        <v>141</v>
      </c>
      <c r="U87" s="198" t="s">
        <v>141</v>
      </c>
      <c r="V87" s="268" t="s">
        <v>141</v>
      </c>
    </row>
    <row r="88" spans="2:22" ht="12.75" hidden="1" customHeight="1" outlineLevel="1">
      <c r="B88" s="855"/>
      <c r="C88" s="1005"/>
      <c r="D88" s="189" t="s">
        <v>119</v>
      </c>
      <c r="E88" s="190"/>
      <c r="F88" s="653"/>
      <c r="G88" s="244">
        <v>66</v>
      </c>
      <c r="H88" s="224">
        <v>79.2</v>
      </c>
      <c r="I88" s="210">
        <v>99.000000000000014</v>
      </c>
      <c r="J88" s="224">
        <v>118.80000000000001</v>
      </c>
      <c r="K88" s="210">
        <v>132</v>
      </c>
      <c r="L88" s="224">
        <v>158.4</v>
      </c>
      <c r="M88" s="210">
        <v>154</v>
      </c>
      <c r="N88" s="224">
        <v>184.8</v>
      </c>
      <c r="O88" s="210">
        <v>176</v>
      </c>
      <c r="P88" s="224">
        <v>211.20000000000002</v>
      </c>
      <c r="Q88" s="210">
        <v>44</v>
      </c>
      <c r="R88" s="251" t="s">
        <v>141</v>
      </c>
      <c r="S88" s="210">
        <v>66</v>
      </c>
      <c r="T88" s="269" t="s">
        <v>141</v>
      </c>
      <c r="U88" s="210" t="s">
        <v>141</v>
      </c>
      <c r="V88" s="269" t="s">
        <v>141</v>
      </c>
    </row>
    <row r="89" spans="2:22" ht="12.75" hidden="1" customHeight="1" outlineLevel="1">
      <c r="B89" s="855"/>
      <c r="C89" s="1005"/>
      <c r="D89" s="189" t="s">
        <v>161</v>
      </c>
      <c r="E89" s="190"/>
      <c r="F89" s="653"/>
      <c r="G89" s="244">
        <v>66</v>
      </c>
      <c r="H89" s="224">
        <v>79.2</v>
      </c>
      <c r="I89" s="210">
        <v>99.000000000000014</v>
      </c>
      <c r="J89" s="224">
        <v>118.80000000000001</v>
      </c>
      <c r="K89" s="210">
        <v>132</v>
      </c>
      <c r="L89" s="224">
        <v>158.4</v>
      </c>
      <c r="M89" s="195">
        <v>154</v>
      </c>
      <c r="N89" s="224">
        <v>184.8</v>
      </c>
      <c r="O89" s="195">
        <v>176</v>
      </c>
      <c r="P89" s="224">
        <v>211.20000000000002</v>
      </c>
      <c r="Q89" s="195">
        <v>55.000000000000007</v>
      </c>
      <c r="R89" s="251" t="s">
        <v>141</v>
      </c>
      <c r="S89" s="195">
        <v>66</v>
      </c>
      <c r="T89" s="269" t="s">
        <v>141</v>
      </c>
      <c r="U89" s="195" t="s">
        <v>141</v>
      </c>
      <c r="V89" s="269" t="s">
        <v>141</v>
      </c>
    </row>
    <row r="90" spans="2:22" ht="12.75" hidden="1" customHeight="1" outlineLevel="1">
      <c r="B90" s="855"/>
      <c r="C90" s="1005"/>
      <c r="D90" s="189" t="s">
        <v>164</v>
      </c>
      <c r="E90" s="190"/>
      <c r="F90" s="653"/>
      <c r="G90" s="244">
        <v>66</v>
      </c>
      <c r="H90" s="224">
        <v>79.2</v>
      </c>
      <c r="I90" s="210">
        <v>99.000000000000014</v>
      </c>
      <c r="J90" s="224">
        <v>118.80000000000001</v>
      </c>
      <c r="K90" s="210">
        <v>132</v>
      </c>
      <c r="L90" s="224">
        <v>158.4</v>
      </c>
      <c r="M90" s="195">
        <v>154</v>
      </c>
      <c r="N90" s="224">
        <v>184.8</v>
      </c>
      <c r="O90" s="195">
        <v>176</v>
      </c>
      <c r="P90" s="224">
        <v>211.20000000000002</v>
      </c>
      <c r="Q90" s="195">
        <v>44</v>
      </c>
      <c r="R90" s="251" t="s">
        <v>141</v>
      </c>
      <c r="S90" s="195">
        <v>66</v>
      </c>
      <c r="T90" s="269" t="s">
        <v>141</v>
      </c>
      <c r="U90" s="195" t="s">
        <v>141</v>
      </c>
      <c r="V90" s="269" t="s">
        <v>141</v>
      </c>
    </row>
    <row r="91" spans="2:22" ht="12.75" hidden="1" customHeight="1" outlineLevel="1">
      <c r="B91" s="855"/>
      <c r="C91" s="1005"/>
      <c r="D91" s="189" t="s">
        <v>154</v>
      </c>
      <c r="E91" s="190"/>
      <c r="F91" s="653"/>
      <c r="G91" s="244">
        <v>44</v>
      </c>
      <c r="H91" s="224">
        <v>52.800000000000004</v>
      </c>
      <c r="I91" s="210">
        <v>66</v>
      </c>
      <c r="J91" s="224">
        <v>79.2</v>
      </c>
      <c r="K91" s="210">
        <v>88</v>
      </c>
      <c r="L91" s="224">
        <v>105.60000000000001</v>
      </c>
      <c r="M91" s="210">
        <v>99.000000000000014</v>
      </c>
      <c r="N91" s="224">
        <v>118.80000000000001</v>
      </c>
      <c r="O91" s="210">
        <v>110.00000000000001</v>
      </c>
      <c r="P91" s="224">
        <v>132</v>
      </c>
      <c r="Q91" s="210">
        <v>33</v>
      </c>
      <c r="R91" s="251" t="s">
        <v>141</v>
      </c>
      <c r="S91" s="210">
        <v>44</v>
      </c>
      <c r="T91" s="269" t="s">
        <v>141</v>
      </c>
      <c r="U91" s="210" t="s">
        <v>141</v>
      </c>
      <c r="V91" s="269" t="s">
        <v>141</v>
      </c>
    </row>
    <row r="92" spans="2:22" ht="12.75" hidden="1" customHeight="1" outlineLevel="1">
      <c r="B92" s="855"/>
      <c r="C92" s="1005"/>
      <c r="D92" s="189" t="s">
        <v>120</v>
      </c>
      <c r="E92" s="190"/>
      <c r="F92" s="653"/>
      <c r="G92" s="244">
        <v>66</v>
      </c>
      <c r="H92" s="224">
        <v>79.2</v>
      </c>
      <c r="I92" s="210">
        <v>99.000000000000014</v>
      </c>
      <c r="J92" s="224">
        <v>118.80000000000001</v>
      </c>
      <c r="K92" s="210">
        <v>132</v>
      </c>
      <c r="L92" s="224">
        <v>158.4</v>
      </c>
      <c r="M92" s="210">
        <v>154</v>
      </c>
      <c r="N92" s="224">
        <v>184.8</v>
      </c>
      <c r="O92" s="210">
        <v>176</v>
      </c>
      <c r="P92" s="224">
        <v>211.20000000000002</v>
      </c>
      <c r="Q92" s="210">
        <v>44</v>
      </c>
      <c r="R92" s="251" t="s">
        <v>141</v>
      </c>
      <c r="S92" s="210">
        <v>66</v>
      </c>
      <c r="T92" s="269" t="s">
        <v>141</v>
      </c>
      <c r="U92" s="210" t="s">
        <v>141</v>
      </c>
      <c r="V92" s="269" t="s">
        <v>141</v>
      </c>
    </row>
    <row r="93" spans="2:22" ht="12.75" hidden="1" customHeight="1" outlineLevel="1">
      <c r="B93" s="855"/>
      <c r="C93" s="1005"/>
      <c r="D93" s="189" t="s">
        <v>170</v>
      </c>
      <c r="E93" s="190"/>
      <c r="F93" s="653"/>
      <c r="G93" s="244">
        <v>121.00000000000001</v>
      </c>
      <c r="H93" s="224">
        <v>145.20000000000002</v>
      </c>
      <c r="I93" s="210">
        <v>176</v>
      </c>
      <c r="J93" s="224">
        <v>211.20000000000002</v>
      </c>
      <c r="K93" s="210">
        <v>231.00000000000003</v>
      </c>
      <c r="L93" s="224">
        <v>277.20000000000005</v>
      </c>
      <c r="M93" s="210">
        <v>264</v>
      </c>
      <c r="N93" s="224">
        <v>316.8</v>
      </c>
      <c r="O93" s="210">
        <v>297</v>
      </c>
      <c r="P93" s="224">
        <v>356.40000000000003</v>
      </c>
      <c r="Q93" s="210">
        <v>88</v>
      </c>
      <c r="R93" s="251" t="s">
        <v>141</v>
      </c>
      <c r="S93" s="210">
        <v>121.00000000000001</v>
      </c>
      <c r="T93" s="269" t="s">
        <v>141</v>
      </c>
      <c r="U93" s="210" t="s">
        <v>141</v>
      </c>
      <c r="V93" s="269" t="s">
        <v>141</v>
      </c>
    </row>
    <row r="94" spans="2:22" ht="12.75" hidden="1" customHeight="1" outlineLevel="1">
      <c r="B94" s="855"/>
      <c r="C94" s="1005"/>
      <c r="D94" s="189" t="s">
        <v>122</v>
      </c>
      <c r="E94" s="190"/>
      <c r="F94" s="653"/>
      <c r="G94" s="244">
        <v>121.00000000000001</v>
      </c>
      <c r="H94" s="224">
        <v>145.20000000000002</v>
      </c>
      <c r="I94" s="210">
        <v>176</v>
      </c>
      <c r="J94" s="224">
        <v>211.20000000000002</v>
      </c>
      <c r="K94" s="210">
        <v>231.00000000000003</v>
      </c>
      <c r="L94" s="224">
        <v>277.20000000000005</v>
      </c>
      <c r="M94" s="210">
        <v>264</v>
      </c>
      <c r="N94" s="224">
        <v>316.8</v>
      </c>
      <c r="O94" s="210">
        <v>297</v>
      </c>
      <c r="P94" s="224">
        <v>356.40000000000003</v>
      </c>
      <c r="Q94" s="210">
        <v>88</v>
      </c>
      <c r="R94" s="251" t="s">
        <v>141</v>
      </c>
      <c r="S94" s="210">
        <v>121.00000000000001</v>
      </c>
      <c r="T94" s="269" t="s">
        <v>141</v>
      </c>
      <c r="U94" s="210" t="s">
        <v>141</v>
      </c>
      <c r="V94" s="269" t="s">
        <v>141</v>
      </c>
    </row>
    <row r="95" spans="2:22" ht="12.75" hidden="1" customHeight="1" outlineLevel="1">
      <c r="B95" s="855"/>
      <c r="C95" s="1005"/>
      <c r="D95" s="189" t="s">
        <v>167</v>
      </c>
      <c r="E95" s="190"/>
      <c r="F95" s="653"/>
      <c r="G95" s="244">
        <v>121.00000000000001</v>
      </c>
      <c r="H95" s="224">
        <v>145.20000000000002</v>
      </c>
      <c r="I95" s="210">
        <v>176</v>
      </c>
      <c r="J95" s="224">
        <v>211.20000000000002</v>
      </c>
      <c r="K95" s="210">
        <v>231.00000000000003</v>
      </c>
      <c r="L95" s="224">
        <v>277.20000000000005</v>
      </c>
      <c r="M95" s="210">
        <v>264</v>
      </c>
      <c r="N95" s="224">
        <v>316.8</v>
      </c>
      <c r="O95" s="210">
        <v>297</v>
      </c>
      <c r="P95" s="224">
        <v>356.40000000000003</v>
      </c>
      <c r="Q95" s="210">
        <v>88</v>
      </c>
      <c r="R95" s="251" t="s">
        <v>141</v>
      </c>
      <c r="S95" s="210">
        <v>121.00000000000001</v>
      </c>
      <c r="T95" s="269" t="s">
        <v>141</v>
      </c>
      <c r="U95" s="210" t="s">
        <v>141</v>
      </c>
      <c r="V95" s="269" t="s">
        <v>141</v>
      </c>
    </row>
    <row r="96" spans="2:22" ht="12.75" hidden="1" customHeight="1" outlineLevel="1">
      <c r="B96" s="855"/>
      <c r="C96" s="1005"/>
      <c r="D96" s="189" t="s">
        <v>158</v>
      </c>
      <c r="E96" s="190"/>
      <c r="F96" s="653"/>
      <c r="G96" s="244">
        <v>66</v>
      </c>
      <c r="H96" s="224">
        <v>79.2</v>
      </c>
      <c r="I96" s="210">
        <v>99.000000000000014</v>
      </c>
      <c r="J96" s="224">
        <v>118.80000000000001</v>
      </c>
      <c r="K96" s="210">
        <v>132</v>
      </c>
      <c r="L96" s="224">
        <v>158.4</v>
      </c>
      <c r="M96" s="210" t="s">
        <v>141</v>
      </c>
      <c r="N96" s="224" t="s">
        <v>141</v>
      </c>
      <c r="O96" s="210" t="s">
        <v>141</v>
      </c>
      <c r="P96" s="224" t="s">
        <v>141</v>
      </c>
      <c r="Q96" s="210" t="s">
        <v>141</v>
      </c>
      <c r="R96" s="251" t="s">
        <v>141</v>
      </c>
      <c r="S96" s="210" t="s">
        <v>141</v>
      </c>
      <c r="T96" s="269" t="s">
        <v>141</v>
      </c>
      <c r="U96" s="210" t="s">
        <v>141</v>
      </c>
      <c r="V96" s="269" t="s">
        <v>141</v>
      </c>
    </row>
    <row r="97" spans="2:22" ht="12.75" hidden="1" customHeight="1" outlineLevel="1">
      <c r="B97" s="855"/>
      <c r="C97" s="1005"/>
      <c r="D97" s="189" t="s">
        <v>157</v>
      </c>
      <c r="E97" s="190"/>
      <c r="F97" s="653"/>
      <c r="G97" s="244">
        <v>44</v>
      </c>
      <c r="H97" s="224">
        <v>52.800000000000004</v>
      </c>
      <c r="I97" s="210">
        <v>66</v>
      </c>
      <c r="J97" s="224">
        <v>79.2</v>
      </c>
      <c r="K97" s="210">
        <v>88</v>
      </c>
      <c r="L97" s="224">
        <v>105.60000000000001</v>
      </c>
      <c r="M97" s="210">
        <v>99.000000000000014</v>
      </c>
      <c r="N97" s="224">
        <v>118.80000000000001</v>
      </c>
      <c r="O97" s="210">
        <v>110.00000000000001</v>
      </c>
      <c r="P97" s="224">
        <v>132</v>
      </c>
      <c r="Q97" s="210">
        <v>33</v>
      </c>
      <c r="R97" s="251" t="s">
        <v>141</v>
      </c>
      <c r="S97" s="210">
        <v>44</v>
      </c>
      <c r="T97" s="269" t="s">
        <v>141</v>
      </c>
      <c r="U97" s="210" t="s">
        <v>141</v>
      </c>
      <c r="V97" s="269" t="s">
        <v>141</v>
      </c>
    </row>
    <row r="98" spans="2:22" ht="12.75" hidden="1" customHeight="1" outlineLevel="1">
      <c r="B98" s="855"/>
      <c r="C98" s="1005"/>
      <c r="D98" s="189" t="s">
        <v>155</v>
      </c>
      <c r="E98" s="190"/>
      <c r="F98" s="653"/>
      <c r="G98" s="244">
        <v>44</v>
      </c>
      <c r="H98" s="224">
        <v>52.800000000000004</v>
      </c>
      <c r="I98" s="210">
        <v>66</v>
      </c>
      <c r="J98" s="224">
        <v>79.2</v>
      </c>
      <c r="K98" s="210">
        <v>88</v>
      </c>
      <c r="L98" s="224">
        <v>105.60000000000001</v>
      </c>
      <c r="M98" s="210">
        <v>99.000000000000014</v>
      </c>
      <c r="N98" s="224">
        <v>118.80000000000001</v>
      </c>
      <c r="O98" s="210">
        <v>110.00000000000001</v>
      </c>
      <c r="P98" s="224">
        <v>132</v>
      </c>
      <c r="Q98" s="210">
        <v>33</v>
      </c>
      <c r="R98" s="251" t="s">
        <v>141</v>
      </c>
      <c r="S98" s="210">
        <v>44</v>
      </c>
      <c r="T98" s="269" t="s">
        <v>141</v>
      </c>
      <c r="U98" s="210" t="s">
        <v>141</v>
      </c>
      <c r="V98" s="269" t="s">
        <v>141</v>
      </c>
    </row>
    <row r="99" spans="2:22" ht="12.75" hidden="1" customHeight="1" outlineLevel="1">
      <c r="B99" s="855"/>
      <c r="C99" s="1005"/>
      <c r="D99" s="189" t="s">
        <v>536</v>
      </c>
      <c r="E99" s="190"/>
      <c r="F99" s="189"/>
      <c r="G99" s="638">
        <v>66</v>
      </c>
      <c r="H99" s="222">
        <v>79.2</v>
      </c>
      <c r="I99" s="202">
        <v>99</v>
      </c>
      <c r="J99" s="222">
        <v>118.8</v>
      </c>
      <c r="K99" s="202">
        <v>132</v>
      </c>
      <c r="L99" s="222">
        <v>158.4</v>
      </c>
      <c r="M99" s="210" t="s">
        <v>141</v>
      </c>
      <c r="N99" s="224" t="s">
        <v>141</v>
      </c>
      <c r="O99" s="210" t="s">
        <v>141</v>
      </c>
      <c r="P99" s="224" t="s">
        <v>141</v>
      </c>
      <c r="Q99" s="210" t="s">
        <v>141</v>
      </c>
      <c r="R99" s="251"/>
      <c r="S99" s="210" t="s">
        <v>141</v>
      </c>
      <c r="T99" s="269" t="s">
        <v>141</v>
      </c>
      <c r="U99" s="210"/>
      <c r="V99" s="269"/>
    </row>
    <row r="100" spans="2:22" ht="12.75" hidden="1" customHeight="1" outlineLevel="1">
      <c r="B100" s="855"/>
      <c r="C100" s="1005"/>
      <c r="D100" s="189" t="s">
        <v>537</v>
      </c>
      <c r="E100" s="190"/>
      <c r="F100" s="189"/>
      <c r="G100" s="638">
        <v>44</v>
      </c>
      <c r="H100" s="222">
        <v>52.8</v>
      </c>
      <c r="I100" s="202">
        <v>66</v>
      </c>
      <c r="J100" s="222">
        <v>79.2</v>
      </c>
      <c r="K100" s="202">
        <v>88</v>
      </c>
      <c r="L100" s="222">
        <v>105.6</v>
      </c>
      <c r="M100" s="210" t="s">
        <v>141</v>
      </c>
      <c r="N100" s="224" t="s">
        <v>141</v>
      </c>
      <c r="O100" s="210" t="s">
        <v>141</v>
      </c>
      <c r="P100" s="224" t="s">
        <v>141</v>
      </c>
      <c r="Q100" s="210" t="s">
        <v>141</v>
      </c>
      <c r="R100" s="251"/>
      <c r="S100" s="210" t="s">
        <v>141</v>
      </c>
      <c r="T100" s="269" t="s">
        <v>141</v>
      </c>
      <c r="U100" s="210"/>
      <c r="V100" s="269"/>
    </row>
    <row r="101" spans="2:22" ht="12.75" hidden="1" customHeight="1" outlineLevel="1">
      <c r="B101" s="855"/>
      <c r="C101" s="1005"/>
      <c r="D101" s="185" t="s">
        <v>535</v>
      </c>
      <c r="E101" s="186"/>
      <c r="F101" s="185"/>
      <c r="G101" s="643">
        <v>66</v>
      </c>
      <c r="H101" s="281">
        <v>79.2</v>
      </c>
      <c r="I101" s="280">
        <v>99</v>
      </c>
      <c r="J101" s="281">
        <v>118.8</v>
      </c>
      <c r="K101" s="280">
        <v>132</v>
      </c>
      <c r="L101" s="281">
        <v>158.4</v>
      </c>
      <c r="M101" s="242" t="s">
        <v>141</v>
      </c>
      <c r="N101" s="774" t="s">
        <v>141</v>
      </c>
      <c r="O101" s="242" t="s">
        <v>141</v>
      </c>
      <c r="P101" s="774" t="s">
        <v>141</v>
      </c>
      <c r="Q101" s="242" t="s">
        <v>141</v>
      </c>
      <c r="R101" s="252"/>
      <c r="S101" s="242" t="s">
        <v>141</v>
      </c>
      <c r="T101" s="270" t="s">
        <v>141</v>
      </c>
      <c r="U101" s="242"/>
      <c r="V101" s="270"/>
    </row>
    <row r="102" spans="2:22" ht="42" customHeight="1" collapsed="1">
      <c r="B102" s="855"/>
      <c r="C102" s="1036"/>
      <c r="D102" s="1030" t="str">
        <f>D87&amp;", "&amp;D88&amp;", "&amp;D89&amp;", "&amp;D90&amp;", "&amp;D91&amp;", "&amp;D92&amp;", "&amp;D93&amp;", "&amp;D94&amp;", "&amp;D95&amp;", "&amp;D96&amp;", "&amp;D97&amp;", "&amp;D98&amp;", "&amp;D99&amp;", "&amp;D100&amp;", "&amp;D101</f>
        <v>Kafeteria.pl, WP Kobieta, Pudelek, WP Dom, WP Gwiazdy, WP Kuchnia, WP Fitness, WP abcZdrowie, WP Parenting, WP Pilot, WP Teleshow, WP Książki, genialne.pl, jastrzabpost.pl, pysznosci.pl</v>
      </c>
      <c r="E102" s="1031"/>
      <c r="F102" s="648"/>
      <c r="G102" s="641">
        <v>49.500000000000007</v>
      </c>
      <c r="H102" s="217">
        <v>59.400000000000006</v>
      </c>
      <c r="I102" s="206">
        <v>74.800000000000011</v>
      </c>
      <c r="J102" s="217">
        <v>89.100000000000009</v>
      </c>
      <c r="K102" s="206">
        <v>99.000000000000014</v>
      </c>
      <c r="L102" s="217">
        <v>118.80000000000001</v>
      </c>
      <c r="M102" s="201">
        <v>115.50000000000001</v>
      </c>
      <c r="N102" s="217">
        <v>137.5</v>
      </c>
      <c r="O102" s="201">
        <v>132</v>
      </c>
      <c r="P102" s="216">
        <v>158.4</v>
      </c>
      <c r="Q102" s="207">
        <v>37.400000000000006</v>
      </c>
      <c r="R102" s="253" t="s">
        <v>141</v>
      </c>
      <c r="S102" s="207">
        <v>49.500000000000007</v>
      </c>
      <c r="T102" s="266" t="s">
        <v>141</v>
      </c>
      <c r="U102" s="207" t="s">
        <v>141</v>
      </c>
      <c r="V102" s="266" t="s">
        <v>141</v>
      </c>
    </row>
    <row r="103" spans="2:22" ht="12.75" hidden="1" customHeight="1" outlineLevel="1">
      <c r="B103" s="855"/>
      <c r="C103" s="1035" t="str">
        <f>IF('Język - Language'!$B$30="Polski","PAKIET SPECJALNY 'MĘŻCZYZNA'","DEDICATED PACKAGE 'MAN'")</f>
        <v>PAKIET SPECJALNY 'MĘŻCZYZNA'</v>
      </c>
      <c r="D103" s="179" t="s">
        <v>112</v>
      </c>
      <c r="E103" s="180"/>
      <c r="F103" s="645"/>
      <c r="G103" s="637">
        <v>77</v>
      </c>
      <c r="H103" s="221">
        <v>92.4</v>
      </c>
      <c r="I103" s="200">
        <v>110.00000000000001</v>
      </c>
      <c r="J103" s="221">
        <v>132</v>
      </c>
      <c r="K103" s="200">
        <v>154</v>
      </c>
      <c r="L103" s="221">
        <v>184.8</v>
      </c>
      <c r="M103" s="200">
        <v>176</v>
      </c>
      <c r="N103" s="221">
        <v>211.20000000000002</v>
      </c>
      <c r="O103" s="200">
        <v>209.00000000000003</v>
      </c>
      <c r="P103" s="221">
        <v>250.8</v>
      </c>
      <c r="Q103" s="200">
        <v>55.000000000000007</v>
      </c>
      <c r="R103" s="250" t="s">
        <v>141</v>
      </c>
      <c r="S103" s="200">
        <v>77</v>
      </c>
      <c r="T103" s="268" t="s">
        <v>141</v>
      </c>
      <c r="U103" s="200" t="s">
        <v>141</v>
      </c>
      <c r="V103" s="268" t="s">
        <v>141</v>
      </c>
    </row>
    <row r="104" spans="2:22" ht="12.75" hidden="1" customHeight="1" outlineLevel="1">
      <c r="B104" s="855"/>
      <c r="C104" s="1005"/>
      <c r="D104" s="183" t="s">
        <v>165</v>
      </c>
      <c r="E104" s="184"/>
      <c r="F104" s="646"/>
      <c r="G104" s="638">
        <v>66</v>
      </c>
      <c r="H104" s="222">
        <v>79.2</v>
      </c>
      <c r="I104" s="202">
        <v>99.000000000000014</v>
      </c>
      <c r="J104" s="222">
        <v>118.80000000000001</v>
      </c>
      <c r="K104" s="202">
        <v>132</v>
      </c>
      <c r="L104" s="222">
        <v>158.4</v>
      </c>
      <c r="M104" s="202">
        <v>154</v>
      </c>
      <c r="N104" s="222">
        <v>184.8</v>
      </c>
      <c r="O104" s="202">
        <v>176</v>
      </c>
      <c r="P104" s="222">
        <v>211.20000000000002</v>
      </c>
      <c r="Q104" s="202">
        <v>44</v>
      </c>
      <c r="R104" s="251" t="s">
        <v>141</v>
      </c>
      <c r="S104" s="202">
        <v>66</v>
      </c>
      <c r="T104" s="269" t="s">
        <v>141</v>
      </c>
      <c r="U104" s="202" t="s">
        <v>141</v>
      </c>
      <c r="V104" s="269" t="s">
        <v>141</v>
      </c>
    </row>
    <row r="105" spans="2:22" ht="12.75" hidden="1" customHeight="1" outlineLevel="1">
      <c r="B105" s="855"/>
      <c r="C105" s="1005"/>
      <c r="D105" s="183" t="s">
        <v>164</v>
      </c>
      <c r="E105" s="184"/>
      <c r="F105" s="646"/>
      <c r="G105" s="638">
        <v>66</v>
      </c>
      <c r="H105" s="222">
        <v>79.2</v>
      </c>
      <c r="I105" s="202">
        <v>99.000000000000014</v>
      </c>
      <c r="J105" s="222">
        <v>118.80000000000001</v>
      </c>
      <c r="K105" s="202">
        <v>132</v>
      </c>
      <c r="L105" s="222">
        <v>158.4</v>
      </c>
      <c r="M105" s="202">
        <v>154</v>
      </c>
      <c r="N105" s="222">
        <v>184.8</v>
      </c>
      <c r="O105" s="202">
        <v>176</v>
      </c>
      <c r="P105" s="222">
        <v>211.20000000000002</v>
      </c>
      <c r="Q105" s="202">
        <v>44</v>
      </c>
      <c r="R105" s="251" t="s">
        <v>141</v>
      </c>
      <c r="S105" s="202">
        <v>66</v>
      </c>
      <c r="T105" s="269" t="s">
        <v>141</v>
      </c>
      <c r="U105" s="202" t="s">
        <v>141</v>
      </c>
      <c r="V105" s="269" t="s">
        <v>141</v>
      </c>
    </row>
    <row r="106" spans="2:22" ht="12.75" hidden="1" customHeight="1" outlineLevel="1">
      <c r="B106" s="855"/>
      <c r="C106" s="1005"/>
      <c r="D106" s="183" t="s">
        <v>117</v>
      </c>
      <c r="E106" s="184"/>
      <c r="F106" s="646"/>
      <c r="G106" s="638">
        <v>66</v>
      </c>
      <c r="H106" s="222">
        <v>79.2</v>
      </c>
      <c r="I106" s="202">
        <v>99.000000000000014</v>
      </c>
      <c r="J106" s="222">
        <v>118.80000000000001</v>
      </c>
      <c r="K106" s="202">
        <v>132</v>
      </c>
      <c r="L106" s="222">
        <v>158.4</v>
      </c>
      <c r="M106" s="202">
        <v>154</v>
      </c>
      <c r="N106" s="222">
        <v>184.8</v>
      </c>
      <c r="O106" s="202">
        <v>176</v>
      </c>
      <c r="P106" s="222">
        <v>211.20000000000002</v>
      </c>
      <c r="Q106" s="202">
        <v>44</v>
      </c>
      <c r="R106" s="251" t="s">
        <v>141</v>
      </c>
      <c r="S106" s="202">
        <v>66</v>
      </c>
      <c r="T106" s="269" t="s">
        <v>141</v>
      </c>
      <c r="U106" s="202" t="s">
        <v>141</v>
      </c>
      <c r="V106" s="269" t="s">
        <v>141</v>
      </c>
    </row>
    <row r="107" spans="2:22" ht="12.75" hidden="1" customHeight="1" outlineLevel="1">
      <c r="B107" s="855"/>
      <c r="C107" s="1005"/>
      <c r="D107" s="183" t="s">
        <v>168</v>
      </c>
      <c r="E107" s="184"/>
      <c r="F107" s="646"/>
      <c r="G107" s="638">
        <v>66</v>
      </c>
      <c r="H107" s="222">
        <v>79.2</v>
      </c>
      <c r="I107" s="202">
        <v>99.000000000000014</v>
      </c>
      <c r="J107" s="222">
        <v>118.80000000000001</v>
      </c>
      <c r="K107" s="202">
        <v>132</v>
      </c>
      <c r="L107" s="222">
        <v>158.4</v>
      </c>
      <c r="M107" s="202">
        <v>154</v>
      </c>
      <c r="N107" s="222">
        <v>184.8</v>
      </c>
      <c r="O107" s="202">
        <v>176</v>
      </c>
      <c r="P107" s="222">
        <v>211.20000000000002</v>
      </c>
      <c r="Q107" s="202">
        <v>44</v>
      </c>
      <c r="R107" s="251" t="s">
        <v>141</v>
      </c>
      <c r="S107" s="202">
        <v>66</v>
      </c>
      <c r="T107" s="269" t="s">
        <v>141</v>
      </c>
      <c r="U107" s="202" t="s">
        <v>141</v>
      </c>
      <c r="V107" s="269" t="s">
        <v>141</v>
      </c>
    </row>
    <row r="108" spans="2:22" ht="12.75" hidden="1" customHeight="1" outlineLevel="1">
      <c r="B108" s="855"/>
      <c r="C108" s="1005"/>
      <c r="D108" s="183" t="s">
        <v>113</v>
      </c>
      <c r="E108" s="184"/>
      <c r="F108" s="646"/>
      <c r="G108" s="638">
        <v>66</v>
      </c>
      <c r="H108" s="222">
        <v>79.2</v>
      </c>
      <c r="I108" s="202">
        <v>99.000000000000014</v>
      </c>
      <c r="J108" s="222">
        <v>118.80000000000001</v>
      </c>
      <c r="K108" s="202">
        <v>132</v>
      </c>
      <c r="L108" s="222">
        <v>158.4</v>
      </c>
      <c r="M108" s="202">
        <v>154</v>
      </c>
      <c r="N108" s="222">
        <v>184.8</v>
      </c>
      <c r="O108" s="202">
        <v>176</v>
      </c>
      <c r="P108" s="222">
        <v>211.20000000000002</v>
      </c>
      <c r="Q108" s="202">
        <v>44</v>
      </c>
      <c r="R108" s="251" t="s">
        <v>141</v>
      </c>
      <c r="S108" s="202">
        <v>66</v>
      </c>
      <c r="T108" s="269" t="s">
        <v>141</v>
      </c>
      <c r="U108" s="202" t="s">
        <v>141</v>
      </c>
      <c r="V108" s="269" t="s">
        <v>141</v>
      </c>
    </row>
    <row r="109" spans="2:22" ht="12.75" hidden="1" customHeight="1" outlineLevel="1">
      <c r="B109" s="855"/>
      <c r="C109" s="1005"/>
      <c r="D109" s="183" t="s">
        <v>116</v>
      </c>
      <c r="E109" s="184"/>
      <c r="F109" s="646"/>
      <c r="G109" s="638">
        <v>66</v>
      </c>
      <c r="H109" s="222">
        <v>79.2</v>
      </c>
      <c r="I109" s="202">
        <v>99.000000000000014</v>
      </c>
      <c r="J109" s="222">
        <v>118.80000000000001</v>
      </c>
      <c r="K109" s="202">
        <v>132</v>
      </c>
      <c r="L109" s="222">
        <v>158.4</v>
      </c>
      <c r="M109" s="202">
        <v>154</v>
      </c>
      <c r="N109" s="222">
        <v>184.8</v>
      </c>
      <c r="O109" s="202">
        <v>176</v>
      </c>
      <c r="P109" s="222">
        <v>211.20000000000002</v>
      </c>
      <c r="Q109" s="202">
        <v>44</v>
      </c>
      <c r="R109" s="251" t="s">
        <v>141</v>
      </c>
      <c r="S109" s="202">
        <v>66</v>
      </c>
      <c r="T109" s="269" t="s">
        <v>141</v>
      </c>
      <c r="U109" s="202" t="s">
        <v>141</v>
      </c>
      <c r="V109" s="269" t="s">
        <v>141</v>
      </c>
    </row>
    <row r="110" spans="2:22" ht="12.75" hidden="1" customHeight="1" outlineLevel="1">
      <c r="B110" s="855"/>
      <c r="C110" s="1005"/>
      <c r="D110" s="183" t="s">
        <v>114</v>
      </c>
      <c r="E110" s="184"/>
      <c r="F110" s="646"/>
      <c r="G110" s="638">
        <v>66</v>
      </c>
      <c r="H110" s="222">
        <v>79.2</v>
      </c>
      <c r="I110" s="202">
        <v>99.000000000000014</v>
      </c>
      <c r="J110" s="222">
        <v>118.80000000000001</v>
      </c>
      <c r="K110" s="202">
        <v>132</v>
      </c>
      <c r="L110" s="222">
        <v>158.4</v>
      </c>
      <c r="M110" s="202">
        <v>154</v>
      </c>
      <c r="N110" s="222">
        <v>184.8</v>
      </c>
      <c r="O110" s="202">
        <v>176</v>
      </c>
      <c r="P110" s="222">
        <v>211.20000000000002</v>
      </c>
      <c r="Q110" s="202">
        <v>44</v>
      </c>
      <c r="R110" s="251" t="s">
        <v>141</v>
      </c>
      <c r="S110" s="202">
        <v>66</v>
      </c>
      <c r="T110" s="269" t="s">
        <v>141</v>
      </c>
      <c r="U110" s="202" t="s">
        <v>141</v>
      </c>
      <c r="V110" s="269" t="s">
        <v>141</v>
      </c>
    </row>
    <row r="111" spans="2:22" ht="12.75" hidden="1" customHeight="1" outlineLevel="1">
      <c r="B111" s="855"/>
      <c r="C111" s="1005"/>
      <c r="D111" s="183" t="s">
        <v>115</v>
      </c>
      <c r="E111" s="184"/>
      <c r="F111" s="646"/>
      <c r="G111" s="638">
        <v>66</v>
      </c>
      <c r="H111" s="222">
        <v>79.2</v>
      </c>
      <c r="I111" s="202">
        <v>99.000000000000014</v>
      </c>
      <c r="J111" s="222">
        <v>118.80000000000001</v>
      </c>
      <c r="K111" s="202">
        <v>132</v>
      </c>
      <c r="L111" s="222">
        <v>158.4</v>
      </c>
      <c r="M111" s="202">
        <v>154</v>
      </c>
      <c r="N111" s="222">
        <v>184.8</v>
      </c>
      <c r="O111" s="202">
        <v>176</v>
      </c>
      <c r="P111" s="222">
        <v>211.20000000000002</v>
      </c>
      <c r="Q111" s="202">
        <v>44</v>
      </c>
      <c r="R111" s="251" t="s">
        <v>141</v>
      </c>
      <c r="S111" s="202">
        <v>66</v>
      </c>
      <c r="T111" s="269" t="s">
        <v>141</v>
      </c>
      <c r="U111" s="202" t="s">
        <v>141</v>
      </c>
      <c r="V111" s="269" t="s">
        <v>141</v>
      </c>
    </row>
    <row r="112" spans="2:22" ht="12.75" hidden="1" customHeight="1" outlineLevel="1">
      <c r="B112" s="855"/>
      <c r="C112" s="1005"/>
      <c r="D112" s="183" t="s">
        <v>153</v>
      </c>
      <c r="E112" s="184"/>
      <c r="F112" s="646"/>
      <c r="G112" s="638">
        <v>66</v>
      </c>
      <c r="H112" s="222">
        <v>79.2</v>
      </c>
      <c r="I112" s="202">
        <v>99.000000000000014</v>
      </c>
      <c r="J112" s="222">
        <v>118.80000000000001</v>
      </c>
      <c r="K112" s="202">
        <v>132</v>
      </c>
      <c r="L112" s="222">
        <v>158.4</v>
      </c>
      <c r="M112" s="202">
        <v>154</v>
      </c>
      <c r="N112" s="222">
        <v>184.8</v>
      </c>
      <c r="O112" s="202">
        <v>176</v>
      </c>
      <c r="P112" s="222">
        <v>211.20000000000002</v>
      </c>
      <c r="Q112" s="202">
        <v>44</v>
      </c>
      <c r="R112" s="251" t="s">
        <v>141</v>
      </c>
      <c r="S112" s="202">
        <v>66</v>
      </c>
      <c r="T112" s="269" t="s">
        <v>141</v>
      </c>
      <c r="U112" s="202" t="s">
        <v>141</v>
      </c>
      <c r="V112" s="269" t="s">
        <v>141</v>
      </c>
    </row>
    <row r="113" spans="2:24" ht="12.75" hidden="1" customHeight="1" outlineLevel="1">
      <c r="B113" s="855"/>
      <c r="C113" s="1005"/>
      <c r="D113" s="183" t="s">
        <v>158</v>
      </c>
      <c r="E113" s="184"/>
      <c r="F113" s="646"/>
      <c r="G113" s="638">
        <v>66</v>
      </c>
      <c r="H113" s="222">
        <v>79.2</v>
      </c>
      <c r="I113" s="202">
        <v>99.000000000000014</v>
      </c>
      <c r="J113" s="222">
        <v>118.80000000000001</v>
      </c>
      <c r="K113" s="202">
        <v>132</v>
      </c>
      <c r="L113" s="222">
        <v>158.4</v>
      </c>
      <c r="M113" s="202" t="s">
        <v>141</v>
      </c>
      <c r="N113" s="222" t="s">
        <v>141</v>
      </c>
      <c r="O113" s="202" t="s">
        <v>141</v>
      </c>
      <c r="P113" s="222" t="s">
        <v>141</v>
      </c>
      <c r="Q113" s="202">
        <v>44</v>
      </c>
      <c r="R113" s="251" t="s">
        <v>141</v>
      </c>
      <c r="S113" s="202">
        <v>66</v>
      </c>
      <c r="T113" s="269" t="s">
        <v>141</v>
      </c>
      <c r="U113" s="202" t="s">
        <v>141</v>
      </c>
      <c r="V113" s="269" t="s">
        <v>141</v>
      </c>
    </row>
    <row r="114" spans="2:24" ht="12.75" hidden="1" customHeight="1" outlineLevel="1">
      <c r="B114" s="855"/>
      <c r="C114" s="1005"/>
      <c r="D114" s="183" t="s">
        <v>118</v>
      </c>
      <c r="E114" s="184"/>
      <c r="F114" s="646"/>
      <c r="G114" s="638">
        <v>44</v>
      </c>
      <c r="H114" s="222">
        <v>52.800000000000004</v>
      </c>
      <c r="I114" s="202">
        <v>66</v>
      </c>
      <c r="J114" s="222">
        <v>79.2</v>
      </c>
      <c r="K114" s="202">
        <v>88</v>
      </c>
      <c r="L114" s="222">
        <v>105.60000000000001</v>
      </c>
      <c r="M114" s="202">
        <v>99.000000000000014</v>
      </c>
      <c r="N114" s="222">
        <v>118.80000000000001</v>
      </c>
      <c r="O114" s="202">
        <v>110.00000000000001</v>
      </c>
      <c r="P114" s="222">
        <v>132</v>
      </c>
      <c r="Q114" s="202">
        <v>33</v>
      </c>
      <c r="R114" s="251" t="s">
        <v>141</v>
      </c>
      <c r="S114" s="202">
        <v>44</v>
      </c>
      <c r="T114" s="269" t="s">
        <v>141</v>
      </c>
      <c r="U114" s="202" t="s">
        <v>141</v>
      </c>
      <c r="V114" s="269" t="s">
        <v>141</v>
      </c>
    </row>
    <row r="115" spans="2:24" ht="12.75" hidden="1" customHeight="1" outlineLevel="1">
      <c r="B115" s="855"/>
      <c r="C115" s="1005"/>
      <c r="D115" s="183" t="s">
        <v>123</v>
      </c>
      <c r="E115" s="184"/>
      <c r="F115" s="646"/>
      <c r="G115" s="638">
        <v>66</v>
      </c>
      <c r="H115" s="222">
        <v>79.2</v>
      </c>
      <c r="I115" s="202">
        <v>99.000000000000014</v>
      </c>
      <c r="J115" s="222">
        <v>118.80000000000001</v>
      </c>
      <c r="K115" s="202">
        <v>132</v>
      </c>
      <c r="L115" s="222">
        <v>158.4</v>
      </c>
      <c r="M115" s="202">
        <v>154</v>
      </c>
      <c r="N115" s="222">
        <v>184.8</v>
      </c>
      <c r="O115" s="202">
        <v>176</v>
      </c>
      <c r="P115" s="222">
        <v>211.20000000000002</v>
      </c>
      <c r="Q115" s="202">
        <v>44</v>
      </c>
      <c r="R115" s="251" t="s">
        <v>141</v>
      </c>
      <c r="S115" s="202">
        <v>66</v>
      </c>
      <c r="T115" s="269" t="s">
        <v>141</v>
      </c>
      <c r="U115" s="202" t="s">
        <v>141</v>
      </c>
      <c r="V115" s="269" t="s">
        <v>141</v>
      </c>
    </row>
    <row r="116" spans="2:24" ht="12.75" hidden="1" customHeight="1" outlineLevel="1">
      <c r="B116" s="855"/>
      <c r="C116" s="1005"/>
      <c r="D116" s="183" t="s">
        <v>520</v>
      </c>
      <c r="E116" s="184"/>
      <c r="F116" s="646"/>
      <c r="G116" s="638">
        <v>66</v>
      </c>
      <c r="H116" s="222">
        <v>79.2</v>
      </c>
      <c r="I116" s="202">
        <v>99</v>
      </c>
      <c r="J116" s="222">
        <v>118.8</v>
      </c>
      <c r="K116" s="202">
        <v>132</v>
      </c>
      <c r="L116" s="222">
        <v>158.4</v>
      </c>
      <c r="M116" s="202">
        <v>154</v>
      </c>
      <c r="N116" s="222">
        <v>184.8</v>
      </c>
      <c r="O116" s="202">
        <v>176</v>
      </c>
      <c r="P116" s="222">
        <v>211.2</v>
      </c>
      <c r="Q116" s="202">
        <v>44</v>
      </c>
      <c r="R116" s="251" t="s">
        <v>141</v>
      </c>
      <c r="S116" s="202">
        <v>66</v>
      </c>
      <c r="T116" s="259" t="s">
        <v>141</v>
      </c>
      <c r="U116" s="202" t="s">
        <v>141</v>
      </c>
      <c r="V116" s="259" t="s">
        <v>141</v>
      </c>
    </row>
    <row r="117" spans="2:24" ht="12.75" hidden="1" customHeight="1" outlineLevel="1">
      <c r="B117" s="855"/>
      <c r="C117" s="1005"/>
      <c r="D117" s="183" t="s">
        <v>169</v>
      </c>
      <c r="E117" s="184"/>
      <c r="F117" s="646"/>
      <c r="G117" s="638">
        <v>66</v>
      </c>
      <c r="H117" s="222">
        <v>79.2</v>
      </c>
      <c r="I117" s="202">
        <v>99.000000000000014</v>
      </c>
      <c r="J117" s="222">
        <v>118.80000000000001</v>
      </c>
      <c r="K117" s="202">
        <v>132</v>
      </c>
      <c r="L117" s="222">
        <v>158.4</v>
      </c>
      <c r="M117" s="202">
        <v>154</v>
      </c>
      <c r="N117" s="222">
        <v>184.8</v>
      </c>
      <c r="O117" s="202">
        <v>176</v>
      </c>
      <c r="P117" s="222">
        <v>211.20000000000002</v>
      </c>
      <c r="Q117" s="202">
        <v>44</v>
      </c>
      <c r="R117" s="251" t="s">
        <v>141</v>
      </c>
      <c r="S117" s="202">
        <v>66</v>
      </c>
      <c r="T117" s="269" t="s">
        <v>141</v>
      </c>
      <c r="U117" s="202" t="s">
        <v>141</v>
      </c>
      <c r="V117" s="269" t="s">
        <v>141</v>
      </c>
    </row>
    <row r="118" spans="2:24" ht="12.75" hidden="1" customHeight="1" outlineLevel="1">
      <c r="B118" s="855"/>
      <c r="C118" s="1005"/>
      <c r="D118" s="183" t="s">
        <v>536</v>
      </c>
      <c r="E118" s="184"/>
      <c r="F118" s="646"/>
      <c r="G118" s="638">
        <v>66</v>
      </c>
      <c r="H118" s="222">
        <v>79.2</v>
      </c>
      <c r="I118" s="202">
        <v>99</v>
      </c>
      <c r="J118" s="222">
        <v>118.8</v>
      </c>
      <c r="K118" s="202">
        <v>132</v>
      </c>
      <c r="L118" s="222">
        <v>158.4</v>
      </c>
      <c r="M118" s="202" t="s">
        <v>141</v>
      </c>
      <c r="N118" s="222" t="s">
        <v>141</v>
      </c>
      <c r="O118" s="202" t="s">
        <v>141</v>
      </c>
      <c r="P118" s="222" t="s">
        <v>141</v>
      </c>
      <c r="Q118" s="202" t="s">
        <v>141</v>
      </c>
      <c r="R118" s="251" t="s">
        <v>141</v>
      </c>
      <c r="S118" s="202" t="s">
        <v>141</v>
      </c>
      <c r="T118" s="269" t="s">
        <v>141</v>
      </c>
      <c r="U118" s="202" t="s">
        <v>141</v>
      </c>
      <c r="V118" s="269" t="s">
        <v>141</v>
      </c>
    </row>
    <row r="119" spans="2:24" ht="12.75" hidden="1" customHeight="1" outlineLevel="1">
      <c r="B119" s="855"/>
      <c r="C119" s="1005"/>
      <c r="D119" s="347" t="s">
        <v>160</v>
      </c>
      <c r="E119" s="348"/>
      <c r="F119" s="644"/>
      <c r="G119" s="638">
        <v>66</v>
      </c>
      <c r="H119" s="222">
        <v>79.2</v>
      </c>
      <c r="I119" s="202">
        <v>99.000000000000014</v>
      </c>
      <c r="J119" s="222">
        <v>118.80000000000001</v>
      </c>
      <c r="K119" s="202">
        <v>132</v>
      </c>
      <c r="L119" s="222">
        <v>158.4</v>
      </c>
      <c r="M119" s="202">
        <v>154</v>
      </c>
      <c r="N119" s="222">
        <v>184.8</v>
      </c>
      <c r="O119" s="202">
        <v>176</v>
      </c>
      <c r="P119" s="223">
        <v>211.20000000000002</v>
      </c>
      <c r="Q119" s="204">
        <v>44</v>
      </c>
      <c r="R119" s="248" t="s">
        <v>141</v>
      </c>
      <c r="S119" s="204">
        <v>66</v>
      </c>
      <c r="T119" s="776" t="s">
        <v>141</v>
      </c>
      <c r="U119" s="204" t="s">
        <v>141</v>
      </c>
      <c r="V119" s="776" t="s">
        <v>141</v>
      </c>
    </row>
    <row r="120" spans="2:24" ht="52.5" customHeight="1" collapsed="1">
      <c r="B120" s="855"/>
      <c r="C120" s="1036"/>
      <c r="D120" s="1030" t="str">
        <f>D103&amp;", "&amp;D104&amp;", "&amp;D105&amp;", "&amp;D106&amp;", "&amp;D107&amp;", "&amp;D108&amp;", "&amp;D109&amp;", "&amp;D110&amp;", "&amp;D111&amp;", "&amp;D112&amp;", "&amp;D113&amp;", "&amp;D114&amp;", "&amp;D115&amp;", "&amp;D116&amp;", "&amp;D117&amp;", "&amp;D118&amp;", "&amp;D119</f>
        <v>WP SportoweFakty, WP Facet, WP Dom, WP Moto, WP Tech, WP Autokult, WP Fotoblogia, WP Gadżetomania, WP Komórkomania, WP Gry, WP Pilot, WP Film, Autocentrum, benchmark.pl, dobreprogramy.pl³, genialne.pl, polygamia.pl</v>
      </c>
      <c r="E120" s="1031"/>
      <c r="F120" s="626"/>
      <c r="G120" s="641">
        <v>49.500000000000007</v>
      </c>
      <c r="H120" s="217">
        <v>59.400000000000006</v>
      </c>
      <c r="I120" s="206">
        <v>74.800000000000011</v>
      </c>
      <c r="J120" s="217">
        <v>89.100000000000009</v>
      </c>
      <c r="K120" s="206">
        <v>99.000000000000014</v>
      </c>
      <c r="L120" s="217">
        <v>118.80000000000001</v>
      </c>
      <c r="M120" s="201">
        <v>115.50000000000001</v>
      </c>
      <c r="N120" s="217">
        <v>137.5</v>
      </c>
      <c r="O120" s="201">
        <v>132</v>
      </c>
      <c r="P120" s="775">
        <v>158.4</v>
      </c>
      <c r="Q120" s="237">
        <v>37.400000000000006</v>
      </c>
      <c r="R120" s="246" t="s">
        <v>141</v>
      </c>
      <c r="S120" s="237">
        <v>49.500000000000007</v>
      </c>
      <c r="T120" s="267" t="s">
        <v>141</v>
      </c>
      <c r="U120" s="237" t="s">
        <v>141</v>
      </c>
      <c r="V120" s="267" t="s">
        <v>141</v>
      </c>
    </row>
    <row r="121" spans="2:24" ht="36" customHeight="1">
      <c r="B121" s="855"/>
      <c r="C121" s="738" t="str">
        <f>IF('Język - Language'!$B$30="Polski","PAKIET SPECJALNY","DEDICATED PACKAGE")</f>
        <v>PAKIET SPECJALNY</v>
      </c>
      <c r="D121" s="1030" t="str">
        <f>IF('Język - Language'!$B$30="Polski","Min. 4 wybrane serwisy - BEZ SERWISÓW KATEGORII BIZNES oraz ZDROWIE I PRENTING","Min. 4 selected sites - EXCLUDING BUSINESS, HEALTH AND PARENTING SITES")</f>
        <v>Min. 4 wybrane serwisy - BEZ SERWISÓW KATEGORII BIZNES oraz ZDROWIE I PRENTING</v>
      </c>
      <c r="E121" s="1031"/>
      <c r="F121" s="626"/>
      <c r="G121" s="655">
        <v>73.7</v>
      </c>
      <c r="H121" s="215">
        <v>88</v>
      </c>
      <c r="I121" s="207">
        <v>94.600000000000009</v>
      </c>
      <c r="J121" s="215">
        <v>113.30000000000001</v>
      </c>
      <c r="K121" s="207">
        <v>125.4</v>
      </c>
      <c r="L121" s="215">
        <v>150.70000000000002</v>
      </c>
      <c r="M121" s="207">
        <v>148.5</v>
      </c>
      <c r="N121" s="215">
        <v>178.20000000000002</v>
      </c>
      <c r="O121" s="207">
        <v>187</v>
      </c>
      <c r="P121" s="215">
        <v>215</v>
      </c>
      <c r="Q121" s="207">
        <v>47.300000000000004</v>
      </c>
      <c r="R121" s="246" t="s">
        <v>141</v>
      </c>
      <c r="S121" s="237">
        <v>73.7</v>
      </c>
      <c r="T121" s="261" t="s">
        <v>141</v>
      </c>
      <c r="U121" s="237" t="s">
        <v>141</v>
      </c>
      <c r="V121" s="261" t="s">
        <v>141</v>
      </c>
      <c r="W121" s="21"/>
      <c r="X121" s="21"/>
    </row>
    <row r="122" spans="2:24">
      <c r="B122" s="192"/>
      <c r="C122" s="136" t="str">
        <f>IF('Język - Language'!$B$30="Polski","¹ Ceny dotyczą rozliczenia vCPM po statystykach wewnętrznych WPM. W przypadku rozliczenia po statystykach zewnętrznych dopłata +20%. ","¹ The above prices concern the vCPM settlement according to the internal statistics of WPM. In case of settlement based on external statistics, the +20 % extra charge applies.")</f>
        <v xml:space="preserve">¹ Ceny dotyczą rozliczenia vCPM po statystykach wewnętrznych WPM. W przypadku rozliczenia po statystykach zewnętrznych dopłata +20%. </v>
      </c>
      <c r="D122" s="65"/>
      <c r="E122" s="65"/>
      <c r="F122" s="65"/>
      <c r="G122" s="65"/>
      <c r="H122" s="65"/>
      <c r="I122" s="65"/>
      <c r="J122" s="66"/>
    </row>
    <row r="123" spans="2:24">
      <c r="C123" s="137" t="str">
        <f>IF('Język - Language'!$B$30="Polski","² Format dostępny na wybranych serwisach. Brak możliwości emisji screeningu w pakietach zasięgowych oraz ograniczona możliwość emisji w pakietach tematycznych złożonych z serwisów o zróżnicowanej specyfikacji technicznej.","² Available on selected websites. There is no possibility of emission screening in coverage packages and limited possibility of emission in thematic packages consisting of websites with different technical specifications.")</f>
        <v>² Format dostępny na wybranych serwisach. Brak możliwości emisji screeningu w pakietach zasięgowych oraz ograniczona możliwość emisji w pakietach tematycznych złożonych z serwisów o zróżnicowanej specyfikacji technicznej.</v>
      </c>
      <c r="D123" s="47"/>
      <c r="E123" s="39"/>
      <c r="F123" s="39"/>
      <c r="I123" s="142"/>
    </row>
    <row r="124" spans="2:24">
      <c r="C124" s="133" t="str">
        <f>IF('Język - Language'!$B$30="Polski","³ Screening na dobreprogramy.pl sprzedawany wyłącznie poza pakietem.","³ Screening on site dobreprogramy.pl is only available outside the package.")</f>
        <v>³ Screening na dobreprogramy.pl sprzedawany wyłącznie poza pakietem.</v>
      </c>
      <c r="D124" s="47"/>
      <c r="E124" s="39"/>
      <c r="F124" s="39"/>
    </row>
    <row r="125" spans="2:24">
      <c r="C125" s="133" t="s">
        <v>173</v>
      </c>
      <c r="D125" s="47"/>
      <c r="E125" s="39"/>
      <c r="F125" s="39"/>
    </row>
    <row r="126" spans="2:24">
      <c r="C126" s="133" t="str">
        <f>IF('Język - Language'!$B$30="Polski","⁵ Dopłata do opcji Full Page wynosi 25%","⁵ Surcharge for the Full Page option is 25%")</f>
        <v>⁵ Dopłata do opcji Full Page wynosi 25%</v>
      </c>
      <c r="D126" s="47"/>
      <c r="E126" s="39"/>
      <c r="F126" s="39"/>
    </row>
    <row r="127" spans="2:24">
      <c r="C127" s="133" t="s">
        <v>174</v>
      </c>
      <c r="D127" s="47"/>
      <c r="E127" s="39"/>
      <c r="F127" s="39"/>
    </row>
    <row r="128" spans="2:24">
      <c r="C128" s="133" t="s">
        <v>541</v>
      </c>
      <c r="D128" s="47"/>
      <c r="E128" s="39"/>
      <c r="F128" s="39"/>
    </row>
    <row r="129" spans="2:14">
      <c r="C129" s="133"/>
      <c r="D129" s="47"/>
      <c r="E129" s="39"/>
      <c r="F129" s="39"/>
    </row>
    <row r="130" spans="2:14" ht="12.75" customHeight="1">
      <c r="C130" s="136"/>
      <c r="D130" s="75"/>
      <c r="E130" s="18"/>
      <c r="F130" s="18"/>
      <c r="G130" s="18"/>
      <c r="H130" s="18"/>
      <c r="I130" s="18"/>
      <c r="J130" s="18"/>
      <c r="K130" s="19"/>
      <c r="L130" s="19"/>
      <c r="M130" s="19"/>
      <c r="N130" s="19"/>
    </row>
    <row r="131" spans="2:14" ht="25.5" customHeight="1">
      <c r="B131" s="1051" t="s">
        <v>175</v>
      </c>
      <c r="C131" s="991" t="s">
        <v>91</v>
      </c>
      <c r="D131" s="706"/>
      <c r="E131" s="994" t="str">
        <f>IF('Język - Language'!$B$30="Polski","WIDZIALNE ODSŁONY³","VIEWABLE IMPRESSIONS³")</f>
        <v>WIDZIALNE ODSŁONY³</v>
      </c>
      <c r="F131" s="718"/>
      <c r="G131" s="1058" t="s">
        <v>176</v>
      </c>
      <c r="H131" s="1058"/>
      <c r="I131" s="1058"/>
      <c r="J131" s="839" t="s">
        <v>177</v>
      </c>
      <c r="K131" s="839"/>
      <c r="L131" s="1065"/>
    </row>
    <row r="132" spans="2:14" ht="25.5" customHeight="1">
      <c r="B132" s="855"/>
      <c r="C132" s="991"/>
      <c r="D132" s="706"/>
      <c r="E132" s="989"/>
      <c r="F132" s="719"/>
      <c r="G132" s="1058" t="str">
        <f>IF('Język - Language'!$B$30="Polski","rozliczenie za widzialne odsłony wg standardu IAB¹","settlement for visible ad views according to the IAB standard¹")</f>
        <v>rozliczenie za widzialne odsłony wg standardu IAB¹</v>
      </c>
      <c r="H132" s="1058"/>
      <c r="I132" s="1058"/>
      <c r="J132" s="1058"/>
      <c r="K132" s="1058"/>
      <c r="L132" s="1063"/>
    </row>
    <row r="133" spans="2:14" ht="12.75" customHeight="1">
      <c r="B133" s="855"/>
      <c r="C133" s="991"/>
      <c r="D133" s="706"/>
      <c r="E133" s="989"/>
      <c r="F133" s="719"/>
      <c r="G133" s="698" t="s">
        <v>138</v>
      </c>
      <c r="H133" s="1058" t="s">
        <v>69</v>
      </c>
      <c r="I133" s="1058"/>
      <c r="J133" s="698" t="s">
        <v>138</v>
      </c>
      <c r="K133" s="1058" t="s">
        <v>69</v>
      </c>
      <c r="L133" s="1063"/>
    </row>
    <row r="134" spans="2:14" ht="52.5" customHeight="1">
      <c r="B134" s="855"/>
      <c r="C134" s="699" t="s">
        <v>178</v>
      </c>
      <c r="D134" s="405" t="s">
        <v>179</v>
      </c>
      <c r="E134" s="668">
        <v>1000000</v>
      </c>
      <c r="F134" s="720"/>
      <c r="G134" s="402">
        <v>80</v>
      </c>
      <c r="H134" s="1013">
        <v>80000</v>
      </c>
      <c r="I134" s="1013"/>
      <c r="J134" s="402" t="s">
        <v>180</v>
      </c>
      <c r="K134" s="1059" t="s">
        <v>180</v>
      </c>
      <c r="L134" s="1060"/>
    </row>
    <row r="135" spans="2:14" ht="37.5" customHeight="1">
      <c r="B135" s="855"/>
      <c r="C135" s="699" t="s">
        <v>181</v>
      </c>
      <c r="D135" s="401" t="s">
        <v>182</v>
      </c>
      <c r="E135" s="700">
        <v>500000</v>
      </c>
      <c r="F135" s="721"/>
      <c r="G135" s="375">
        <v>80</v>
      </c>
      <c r="H135" s="1066">
        <v>40000</v>
      </c>
      <c r="I135" s="1066"/>
      <c r="J135" s="375">
        <v>85</v>
      </c>
      <c r="K135" s="1066">
        <v>42500</v>
      </c>
      <c r="L135" s="1067"/>
    </row>
    <row r="136" spans="2:14" ht="37.5" customHeight="1">
      <c r="B136" s="856"/>
      <c r="C136" s="779" t="s">
        <v>183</v>
      </c>
      <c r="D136" s="787" t="s">
        <v>184</v>
      </c>
      <c r="E136" s="788">
        <v>500000</v>
      </c>
      <c r="F136" s="789"/>
      <c r="G136" s="786">
        <v>80</v>
      </c>
      <c r="H136" s="1061">
        <v>40000</v>
      </c>
      <c r="I136" s="1061"/>
      <c r="J136" s="786">
        <v>100</v>
      </c>
      <c r="K136" s="1061">
        <v>50000</v>
      </c>
      <c r="L136" s="1062"/>
    </row>
    <row r="137" spans="2:14" ht="12.75" customHeight="1">
      <c r="C137" s="707"/>
      <c r="D137" s="708"/>
      <c r="E137" s="709"/>
      <c r="F137" s="709"/>
      <c r="G137" s="709"/>
      <c r="H137" s="709"/>
      <c r="I137" s="709"/>
      <c r="J137" s="709"/>
      <c r="K137" s="710"/>
      <c r="L137" s="710"/>
      <c r="M137" s="19"/>
      <c r="N137" s="19"/>
    </row>
    <row r="138" spans="2:14" ht="25.5" customHeight="1">
      <c r="B138" s="1023" t="s">
        <v>175</v>
      </c>
      <c r="C138" s="1022" t="str">
        <f>IF('Język - Language'!$B$30="Polski","MIEJSCE EMISJI","PLACE OF EMISSION")</f>
        <v>MIEJSCE EMISJI</v>
      </c>
      <c r="D138" s="1022"/>
      <c r="E138" s="996" t="str">
        <f>IF('Język - Language'!$B$30="Polski","WIDZIALNE ODSŁONY³","VIEWABLE IMPRESSIONS³")</f>
        <v>WIDZIALNE ODSŁONY³</v>
      </c>
      <c r="F138" s="997" t="s">
        <v>124</v>
      </c>
      <c r="G138" s="1041" t="s">
        <v>185</v>
      </c>
      <c r="H138" s="1041"/>
      <c r="I138" s="1041"/>
      <c r="J138" s="1041" t="s">
        <v>186</v>
      </c>
      <c r="K138" s="1041"/>
      <c r="L138" s="1042"/>
    </row>
    <row r="139" spans="2:14" ht="25.5" customHeight="1">
      <c r="B139" s="1023"/>
      <c r="C139" s="1022"/>
      <c r="D139" s="1022"/>
      <c r="E139" s="996"/>
      <c r="F139" s="997"/>
      <c r="G139" s="989"/>
      <c r="H139" s="989"/>
      <c r="I139" s="989"/>
      <c r="J139" s="989"/>
      <c r="K139" s="989"/>
      <c r="L139" s="990"/>
    </row>
    <row r="140" spans="2:14" ht="25.5" customHeight="1">
      <c r="B140" s="1023"/>
      <c r="C140" s="1022"/>
      <c r="D140" s="1022"/>
      <c r="E140" s="996"/>
      <c r="F140" s="998" t="s">
        <v>135</v>
      </c>
      <c r="G140" s="1043" t="s">
        <v>187</v>
      </c>
      <c r="H140" s="1043"/>
      <c r="I140" s="1043"/>
      <c r="J140" s="1043" t="s">
        <v>188</v>
      </c>
      <c r="K140" s="1043"/>
      <c r="L140" s="1044"/>
    </row>
    <row r="141" spans="2:14" ht="25.5" customHeight="1">
      <c r="B141" s="1023"/>
      <c r="C141" s="1022"/>
      <c r="D141" s="1022"/>
      <c r="E141" s="996"/>
      <c r="F141" s="998"/>
      <c r="G141" s="1043"/>
      <c r="H141" s="1043"/>
      <c r="I141" s="1043"/>
      <c r="J141" s="1043"/>
      <c r="K141" s="1043"/>
      <c r="L141" s="1044"/>
    </row>
    <row r="142" spans="2:14" ht="25.5" customHeight="1">
      <c r="B142" s="1023"/>
      <c r="C142" s="1022"/>
      <c r="D142" s="1022"/>
      <c r="E142" s="996"/>
      <c r="F142" s="675"/>
      <c r="G142" s="989" t="str">
        <f>IF('Język - Language'!$B$30="Polski","rozliczenie za widzialne odsłony wg standardu IAB¹","settlement for visible ad views according to the IAB standard¹")</f>
        <v>rozliczenie za widzialne odsłony wg standardu IAB¹</v>
      </c>
      <c r="H142" s="989"/>
      <c r="I142" s="989"/>
      <c r="J142" s="989"/>
      <c r="K142" s="989"/>
      <c r="L142" s="990"/>
    </row>
    <row r="143" spans="2:14" ht="12.75" customHeight="1">
      <c r="B143" s="1023"/>
      <c r="C143" s="1022"/>
      <c r="D143" s="1022"/>
      <c r="E143" s="996"/>
      <c r="F143" s="675"/>
      <c r="G143" s="1000" t="str">
        <f>IF('Język - Language'!$B$30="Polski","CENA RC","RC PRICE")</f>
        <v>CENA RC</v>
      </c>
      <c r="H143" s="1000"/>
      <c r="I143" s="1000"/>
      <c r="J143" s="1000"/>
      <c r="K143" s="1000"/>
      <c r="L143" s="1001"/>
    </row>
    <row r="144" spans="2:14" ht="12.75" customHeight="1">
      <c r="B144" s="1023"/>
      <c r="C144" s="1009" t="s">
        <v>189</v>
      </c>
      <c r="D144" s="703" t="str">
        <f>IF('Język - Language'!$B$30="Polski",CONCATENATE("Moduł ",CHAR(34),"Wiadomości",CHAR(34)),"Category 'News'")</f>
        <v>Moduł "Wiadomości"</v>
      </c>
      <c r="E144" s="704">
        <v>2000000</v>
      </c>
      <c r="F144" s="705"/>
      <c r="G144" s="992">
        <v>184000</v>
      </c>
      <c r="H144" s="992"/>
      <c r="I144" s="992"/>
      <c r="J144" s="1016" t="s">
        <v>190</v>
      </c>
      <c r="K144" s="1016"/>
      <c r="L144" s="1017"/>
    </row>
    <row r="145" spans="2:12" ht="12.75" customHeight="1">
      <c r="B145" s="1023"/>
      <c r="C145" s="1009"/>
      <c r="D145" s="173" t="str">
        <f>IF('Język - Language'!$B$30="Polski",CONCATENATE("Moduł ",CHAR(34),"Sport",CHAR(34)),"Category 'Sport'")</f>
        <v>Moduł "Sport"</v>
      </c>
      <c r="E145" s="667">
        <v>1400000</v>
      </c>
      <c r="F145" s="676"/>
      <c r="G145" s="993">
        <v>129000</v>
      </c>
      <c r="H145" s="993"/>
      <c r="I145" s="993"/>
      <c r="J145" s="955"/>
      <c r="K145" s="955"/>
      <c r="L145" s="1018"/>
    </row>
    <row r="146" spans="2:12" ht="12.75" customHeight="1">
      <c r="B146" s="1023"/>
      <c r="C146" s="1009"/>
      <c r="D146" s="173" t="str">
        <f>IF('Język - Language'!$B$30="Polski",CONCATENATE("Moduł ",CHAR(34),"Finanse",CHAR(34)),"Category 'Business'")</f>
        <v>Moduł "Finanse"</v>
      </c>
      <c r="E146" s="667">
        <v>1200000</v>
      </c>
      <c r="F146" s="676"/>
      <c r="G146" s="993">
        <v>110000</v>
      </c>
      <c r="H146" s="993"/>
      <c r="I146" s="993"/>
      <c r="J146" s="955"/>
      <c r="K146" s="955"/>
      <c r="L146" s="1018"/>
    </row>
    <row r="147" spans="2:12" ht="12.75" customHeight="1">
      <c r="B147" s="1023"/>
      <c r="C147" s="1009"/>
      <c r="D147" s="173" t="str">
        <f>IF('Język - Language'!$B$30="Polski",CONCATENATE("Moduł ",CHAR(34),"Gwiazdy",CHAR(34)),"Category 'Stars'")</f>
        <v>Moduł "Gwiazdy"</v>
      </c>
      <c r="E147" s="667">
        <v>1000000</v>
      </c>
      <c r="F147" s="676"/>
      <c r="G147" s="993">
        <v>92000</v>
      </c>
      <c r="H147" s="993"/>
      <c r="I147" s="993"/>
      <c r="J147" s="955"/>
      <c r="K147" s="955"/>
      <c r="L147" s="1018"/>
    </row>
    <row r="148" spans="2:12" ht="12.75" customHeight="1">
      <c r="B148" s="1023"/>
      <c r="C148" s="1009"/>
      <c r="D148" s="173" t="str">
        <f>IF('Język - Language'!$B$30="Polski",CONCATENATE("Moduł ",CHAR(34),"Moto",CHAR(34)),"Category 'Automotive'")</f>
        <v>Moduł "Moto"</v>
      </c>
      <c r="E148" s="667">
        <v>900000</v>
      </c>
      <c r="F148" s="676"/>
      <c r="G148" s="993">
        <v>83000</v>
      </c>
      <c r="H148" s="993"/>
      <c r="I148" s="993"/>
      <c r="J148" s="955"/>
      <c r="K148" s="955"/>
      <c r="L148" s="1018"/>
    </row>
    <row r="149" spans="2:12" ht="12.75" customHeight="1">
      <c r="B149" s="1023"/>
      <c r="C149" s="1009"/>
      <c r="D149" s="173" t="str">
        <f>IF('Język - Language'!$B$30="Polski",CONCATENATE("Moduł ",CHAR(34),"Styl Życia",CHAR(34)),"Category 'Lifestyle'")</f>
        <v>Moduł "Styl Życia"</v>
      </c>
      <c r="E149" s="667">
        <v>700000</v>
      </c>
      <c r="F149" s="676"/>
      <c r="G149" s="993">
        <v>64000</v>
      </c>
      <c r="H149" s="993"/>
      <c r="I149" s="993"/>
      <c r="J149" s="955"/>
      <c r="K149" s="955"/>
      <c r="L149" s="1018"/>
    </row>
    <row r="150" spans="2:12" ht="12.75" customHeight="1">
      <c r="B150" s="1023"/>
      <c r="C150" s="1009"/>
      <c r="D150" s="173" t="str">
        <f>IF('Język - Language'!$B$30="Polski",CONCATENATE("Moduł ",CHAR(34),"Turystyka",CHAR(34)),"Category 'Touring'")</f>
        <v>Moduł "Turystyka"</v>
      </c>
      <c r="E150" s="667">
        <v>600000</v>
      </c>
      <c r="F150" s="676"/>
      <c r="G150" s="993">
        <v>55000</v>
      </c>
      <c r="H150" s="993"/>
      <c r="I150" s="993"/>
      <c r="J150" s="955"/>
      <c r="K150" s="955"/>
      <c r="L150" s="1018"/>
    </row>
    <row r="151" spans="2:12" ht="12.75" customHeight="1">
      <c r="B151" s="1023"/>
      <c r="C151" s="1009"/>
      <c r="D151" s="299" t="str">
        <f>IF('Język - Language'!$B$30="Polski",CONCATENATE("Moduł ",CHAR(34),"Zobacz więcej",CHAR(34)),"Category 'See more'")</f>
        <v>Moduł "Zobacz więcej"</v>
      </c>
      <c r="E151" s="668">
        <v>500000</v>
      </c>
      <c r="F151" s="672"/>
      <c r="G151" s="1013">
        <v>46000</v>
      </c>
      <c r="H151" s="1013"/>
      <c r="I151" s="1013"/>
      <c r="J151" s="1019"/>
      <c r="K151" s="1019"/>
      <c r="L151" s="1020"/>
    </row>
    <row r="152" spans="2:12" ht="12.75" customHeight="1">
      <c r="B152" s="1023"/>
      <c r="C152" s="1010"/>
      <c r="D152" s="298" t="str">
        <f>IF('Język - Language'!$B$30="Polski","Moduły rotacyjnie","Rotating in categories")</f>
        <v>Moduły rotacyjnie</v>
      </c>
      <c r="E152" s="669">
        <v>1000000</v>
      </c>
      <c r="F152" s="673"/>
      <c r="G152" s="1014">
        <v>75000</v>
      </c>
      <c r="H152" s="1014"/>
      <c r="I152" s="1014"/>
      <c r="J152" s="492"/>
      <c r="K152" s="492"/>
      <c r="L152" s="715"/>
    </row>
    <row r="153" spans="2:12" ht="25.5" customHeight="1">
      <c r="B153" s="1023"/>
      <c r="C153" s="711" t="s">
        <v>191</v>
      </c>
      <c r="D153" s="298" t="s">
        <v>192</v>
      </c>
      <c r="E153" s="670">
        <v>1000000</v>
      </c>
      <c r="F153" s="674"/>
      <c r="G153" s="1015">
        <v>80000</v>
      </c>
      <c r="H153" s="1015"/>
      <c r="I153" s="1015"/>
      <c r="J153" s="1015" t="s">
        <v>180</v>
      </c>
      <c r="K153" s="1015"/>
      <c r="L153" s="1021"/>
    </row>
    <row r="154" spans="2:12" ht="25.5" customHeight="1">
      <c r="B154" s="1023"/>
      <c r="C154" s="712" t="s">
        <v>193</v>
      </c>
      <c r="D154" s="324" t="s">
        <v>194</v>
      </c>
      <c r="E154" s="670">
        <v>500000</v>
      </c>
      <c r="F154" s="674"/>
      <c r="G154" s="1015">
        <v>40000</v>
      </c>
      <c r="H154" s="1015"/>
      <c r="I154" s="1015"/>
      <c r="J154" s="1015">
        <v>50000</v>
      </c>
      <c r="K154" s="1015"/>
      <c r="L154" s="1021"/>
    </row>
    <row r="155" spans="2:12" ht="25.5" customHeight="1">
      <c r="B155" s="1023"/>
      <c r="C155" s="712" t="s">
        <v>195</v>
      </c>
      <c r="D155" s="324" t="s">
        <v>194</v>
      </c>
      <c r="E155" s="670">
        <v>500000</v>
      </c>
      <c r="F155" s="674"/>
      <c r="G155" s="1015">
        <v>40000</v>
      </c>
      <c r="H155" s="1015"/>
      <c r="I155" s="1015"/>
      <c r="J155" s="1015">
        <v>80000</v>
      </c>
      <c r="K155" s="1015"/>
      <c r="L155" s="1021"/>
    </row>
    <row r="156" spans="2:12" ht="25.5" customHeight="1">
      <c r="B156" s="1023"/>
      <c r="C156" s="713" t="s">
        <v>196</v>
      </c>
      <c r="D156" s="298" t="s">
        <v>197</v>
      </c>
      <c r="E156" s="670">
        <v>500000</v>
      </c>
      <c r="F156" s="674"/>
      <c r="G156" s="1015">
        <v>60000</v>
      </c>
      <c r="H156" s="1015"/>
      <c r="I156" s="1015"/>
      <c r="J156" s="1015">
        <v>90000</v>
      </c>
      <c r="K156" s="1015"/>
      <c r="L156" s="1021"/>
    </row>
    <row r="157" spans="2:12" ht="25.5" customHeight="1">
      <c r="B157" s="1023"/>
      <c r="C157" s="717" t="s">
        <v>198</v>
      </c>
      <c r="D157" s="324" t="s">
        <v>199</v>
      </c>
      <c r="E157" s="670">
        <v>500000</v>
      </c>
      <c r="F157" s="674"/>
      <c r="G157" s="1015">
        <v>60000</v>
      </c>
      <c r="H157" s="1015"/>
      <c r="I157" s="1015"/>
      <c r="J157" s="1015">
        <v>60000</v>
      </c>
      <c r="K157" s="1015"/>
      <c r="L157" s="1021"/>
    </row>
    <row r="158" spans="2:12" ht="12.75" customHeight="1">
      <c r="B158" s="356"/>
      <c r="C158" s="716"/>
      <c r="D158" s="173"/>
      <c r="E158" s="714"/>
      <c r="F158" s="714"/>
      <c r="G158" s="429"/>
      <c r="H158" s="429"/>
      <c r="I158" s="429"/>
      <c r="J158" s="429"/>
      <c r="K158" s="429"/>
      <c r="L158" s="429"/>
    </row>
    <row r="159" spans="2:12" ht="25.5" customHeight="1">
      <c r="B159" s="855" t="s">
        <v>175</v>
      </c>
      <c r="C159" s="991" t="str">
        <f>IF('Język - Language'!$B$30="Polski","MIEJSCE EMISJI","PLACE OF EMISSION")</f>
        <v>MIEJSCE EMISJI</v>
      </c>
      <c r="D159" s="236"/>
      <c r="E159" s="995" t="str">
        <f>IF('Język - Language'!$B$30="Polski","WIDZIALNE ODSŁONY³","VIEWABLE IMPRESSIONS³")</f>
        <v>WIDZIALNE ODSŁONY³</v>
      </c>
      <c r="F159" s="571"/>
      <c r="G159" s="1058" t="s">
        <v>200</v>
      </c>
      <c r="H159" s="1058"/>
      <c r="I159" s="1058" t="s">
        <v>201</v>
      </c>
      <c r="J159" s="1058"/>
      <c r="K159" s="1011" t="s">
        <v>202</v>
      </c>
      <c r="L159" s="1012"/>
    </row>
    <row r="160" spans="2:12" ht="25.5" customHeight="1">
      <c r="B160" s="855"/>
      <c r="C160" s="991"/>
      <c r="D160" s="571"/>
      <c r="E160" s="995"/>
      <c r="F160" s="571"/>
      <c r="G160" s="1058"/>
      <c r="H160" s="1058"/>
      <c r="I160" s="1058"/>
      <c r="J160" s="1058"/>
      <c r="K160" s="1058" t="s">
        <v>203</v>
      </c>
      <c r="L160" s="1064"/>
    </row>
    <row r="161" spans="2:14" ht="12.75" customHeight="1">
      <c r="B161" s="855"/>
      <c r="C161" s="991"/>
      <c r="D161" s="571"/>
      <c r="E161" s="995"/>
      <c r="F161" s="571"/>
      <c r="G161" s="1011" t="str">
        <f>IF('Język - Language'!$B$30="Polski","CENA RC","RC PRICE")</f>
        <v>CENA RC</v>
      </c>
      <c r="H161" s="1011"/>
      <c r="I161" s="1011"/>
      <c r="J161" s="1011"/>
      <c r="K161" s="1011"/>
      <c r="L161" s="1012"/>
    </row>
    <row r="162" spans="2:14" ht="25.5" customHeight="1">
      <c r="B162" s="855"/>
      <c r="C162" s="1005" t="s">
        <v>204</v>
      </c>
      <c r="D162" s="1007" t="str">
        <f>IF('Język - Language'!$B$30="Polski","Interfejs Poczty WP/o2","Email service interface  WP/o2")</f>
        <v>Interfejs Poczty WP/o2</v>
      </c>
      <c r="E162" s="701" t="s">
        <v>205</v>
      </c>
      <c r="F162" s="722"/>
      <c r="G162" s="993">
        <v>350000</v>
      </c>
      <c r="H162" s="993"/>
      <c r="I162" s="993">
        <v>400000</v>
      </c>
      <c r="J162" s="993"/>
      <c r="K162" s="993">
        <v>370000</v>
      </c>
      <c r="L162" s="1002"/>
    </row>
    <row r="163" spans="2:14" ht="25.5" customHeight="1">
      <c r="B163" s="999"/>
      <c r="C163" s="1006"/>
      <c r="D163" s="1008"/>
      <c r="E163" s="702" t="s">
        <v>206</v>
      </c>
      <c r="F163" s="723"/>
      <c r="G163" s="1003">
        <v>600000</v>
      </c>
      <c r="H163" s="1003"/>
      <c r="I163" s="1003">
        <v>700000</v>
      </c>
      <c r="J163" s="1003"/>
      <c r="K163" s="1003">
        <v>640000</v>
      </c>
      <c r="L163" s="1004"/>
    </row>
    <row r="164" spans="2:14" ht="12.75" customHeight="1">
      <c r="B164" s="170"/>
      <c r="C164" s="136" t="str">
        <f>IF('Język - Language'!$B$30="Polski","¹ Ceny dotyczą rozliczenia vCPM po statystykach wewnętrznych WPM. W przypadku rozliczenia po statystykach zewnętrznych dopłata +20%. ","¹ The above prices concern the vCPM settlement according to the internal statistics of WPM. In case of settlement based on external statistics, the +20 % extra charge applies.")</f>
        <v xml:space="preserve">¹ Ceny dotyczą rozliczenia vCPM po statystykach wewnętrznych WPM. W przypadku rozliczenia po statystykach zewnętrznych dopłata +20%. </v>
      </c>
    </row>
    <row r="165" spans="2:14" ht="12.75" customHeight="1">
      <c r="B165" s="168"/>
      <c r="C165" s="142" t="s">
        <v>207</v>
      </c>
    </row>
    <row r="166" spans="2:14" ht="12.75" customHeight="1">
      <c r="B166" s="168"/>
      <c r="C166" s="142" t="s">
        <v>208</v>
      </c>
    </row>
    <row r="167" spans="2:14" ht="12.75" customHeight="1">
      <c r="B167" s="168"/>
      <c r="C167" s="142" t="str">
        <f>IF('Język - Language'!$B$30="Polski","⁴ za wyjątkiem Halfpage'a","⁴ +100% extra charge to the price of the selected category in case of site Pudelek.pl.")</f>
        <v>⁴ za wyjątkiem Halfpage'a</v>
      </c>
    </row>
    <row r="168" spans="2:14" ht="12.75" customHeight="1">
      <c r="B168" s="168"/>
      <c r="C168" s="142" t="s">
        <v>209</v>
      </c>
    </row>
    <row r="169" spans="2:14" ht="12.75" customHeight="1">
      <c r="B169" s="168"/>
      <c r="C169" s="142" t="s">
        <v>210</v>
      </c>
    </row>
    <row r="170" spans="2:14" ht="12.75" customHeight="1">
      <c r="B170" s="168"/>
    </row>
    <row r="171" spans="2:14" ht="12.75" customHeight="1">
      <c r="B171" s="168"/>
      <c r="C171" s="169"/>
    </row>
    <row r="172" spans="2:14">
      <c r="C172" s="142"/>
      <c r="D172" s="142"/>
      <c r="E172" s="142"/>
      <c r="F172" s="142"/>
      <c r="G172" s="142"/>
      <c r="H172" s="142"/>
      <c r="I172" s="142"/>
      <c r="J172" s="142"/>
      <c r="K172" s="142"/>
      <c r="N172" s="155"/>
    </row>
    <row r="173" spans="2:14">
      <c r="C173" s="99"/>
      <c r="D173" s="99"/>
      <c r="E173" s="142"/>
      <c r="F173" s="142"/>
      <c r="G173" s="142"/>
      <c r="H173" s="142"/>
      <c r="I173" s="142"/>
      <c r="J173" s="142"/>
      <c r="K173" s="142"/>
      <c r="N173" s="155"/>
    </row>
    <row r="174" spans="2:14" ht="12.75" customHeight="1">
      <c r="C174" s="104"/>
      <c r="D174" s="156"/>
      <c r="E174" s="156"/>
      <c r="F174" s="156"/>
      <c r="G174" s="103"/>
      <c r="H174" s="103"/>
      <c r="I174" s="102"/>
      <c r="J174" s="102"/>
      <c r="K174" s="102"/>
      <c r="M174" s="155"/>
    </row>
    <row r="175" spans="2:14">
      <c r="C175" s="99"/>
      <c r="D175" s="99"/>
      <c r="E175" s="142"/>
      <c r="F175" s="142"/>
      <c r="G175" s="142"/>
      <c r="H175" s="142"/>
      <c r="I175" s="142"/>
      <c r="J175" s="142"/>
      <c r="K175" s="142"/>
      <c r="N175" s="155"/>
    </row>
  </sheetData>
  <mergeCells count="119">
    <mergeCell ref="Q1:V3"/>
    <mergeCell ref="G1:J3"/>
    <mergeCell ref="Q12:V12"/>
    <mergeCell ref="G159:H160"/>
    <mergeCell ref="G162:H162"/>
    <mergeCell ref="K134:L134"/>
    <mergeCell ref="K136:L136"/>
    <mergeCell ref="G163:H163"/>
    <mergeCell ref="I159:J160"/>
    <mergeCell ref="G161:L161"/>
    <mergeCell ref="I162:J162"/>
    <mergeCell ref="I163:J163"/>
    <mergeCell ref="G132:L132"/>
    <mergeCell ref="K160:L160"/>
    <mergeCell ref="G131:I131"/>
    <mergeCell ref="J131:L131"/>
    <mergeCell ref="H133:I133"/>
    <mergeCell ref="K133:L133"/>
    <mergeCell ref="H134:I134"/>
    <mergeCell ref="H135:I135"/>
    <mergeCell ref="H136:I136"/>
    <mergeCell ref="K135:L135"/>
    <mergeCell ref="U13:V13"/>
    <mergeCell ref="U8:V9"/>
    <mergeCell ref="S8:T9"/>
    <mergeCell ref="Q13:R13"/>
    <mergeCell ref="S13:T13"/>
    <mergeCell ref="B131:B136"/>
    <mergeCell ref="C131:C133"/>
    <mergeCell ref="C87:C102"/>
    <mergeCell ref="C83:C86"/>
    <mergeCell ref="C77:C82"/>
    <mergeCell ref="C23:C29"/>
    <mergeCell ref="D82:E82"/>
    <mergeCell ref="F8:F9"/>
    <mergeCell ref="F10:F11"/>
    <mergeCell ref="D102:E102"/>
    <mergeCell ref="M8:N9"/>
    <mergeCell ref="O8:P8"/>
    <mergeCell ref="O9:P9"/>
    <mergeCell ref="G12:P12"/>
    <mergeCell ref="O10:P11"/>
    <mergeCell ref="K10:L11"/>
    <mergeCell ref="M10:N11"/>
    <mergeCell ref="I10:J11"/>
    <mergeCell ref="J138:L139"/>
    <mergeCell ref="J140:L141"/>
    <mergeCell ref="G138:I139"/>
    <mergeCell ref="G140:I141"/>
    <mergeCell ref="G13:H13"/>
    <mergeCell ref="D76:E76"/>
    <mergeCell ref="D86:E86"/>
    <mergeCell ref="D49:E49"/>
    <mergeCell ref="M13:N13"/>
    <mergeCell ref="D18:E18"/>
    <mergeCell ref="K13:L13"/>
    <mergeCell ref="D8:E14"/>
    <mergeCell ref="D16:E16"/>
    <mergeCell ref="K8:L8"/>
    <mergeCell ref="B138:B157"/>
    <mergeCell ref="O13:P13"/>
    <mergeCell ref="Q8:R9"/>
    <mergeCell ref="I13:J13"/>
    <mergeCell ref="B15:B121"/>
    <mergeCell ref="D22:E22"/>
    <mergeCell ref="D29:E29"/>
    <mergeCell ref="K9:L9"/>
    <mergeCell ref="D120:E120"/>
    <mergeCell ref="D121:E121"/>
    <mergeCell ref="C19:C22"/>
    <mergeCell ref="D15:E15"/>
    <mergeCell ref="I8:J9"/>
    <mergeCell ref="C103:C120"/>
    <mergeCell ref="C30:C33"/>
    <mergeCell ref="C34:C49"/>
    <mergeCell ref="D67:E67"/>
    <mergeCell ref="D33:E33"/>
    <mergeCell ref="C68:C76"/>
    <mergeCell ref="C50:C67"/>
    <mergeCell ref="C8:C14"/>
    <mergeCell ref="G10:H11"/>
    <mergeCell ref="G8:H9"/>
    <mergeCell ref="D17:E17"/>
    <mergeCell ref="B159:B163"/>
    <mergeCell ref="G143:L143"/>
    <mergeCell ref="G142:L142"/>
    <mergeCell ref="C159:C161"/>
    <mergeCell ref="K162:L162"/>
    <mergeCell ref="K163:L163"/>
    <mergeCell ref="C162:C163"/>
    <mergeCell ref="D162:D163"/>
    <mergeCell ref="C144:C152"/>
    <mergeCell ref="K159:L159"/>
    <mergeCell ref="G151:I151"/>
    <mergeCell ref="G152:I152"/>
    <mergeCell ref="G153:I153"/>
    <mergeCell ref="G154:I154"/>
    <mergeCell ref="G155:I155"/>
    <mergeCell ref="G156:I156"/>
    <mergeCell ref="G157:I157"/>
    <mergeCell ref="J144:L151"/>
    <mergeCell ref="J153:L153"/>
    <mergeCell ref="C138:D143"/>
    <mergeCell ref="J154:L154"/>
    <mergeCell ref="J155:L155"/>
    <mergeCell ref="J156:L156"/>
    <mergeCell ref="J157:L157"/>
    <mergeCell ref="G144:I144"/>
    <mergeCell ref="G145:I145"/>
    <mergeCell ref="G146:I146"/>
    <mergeCell ref="G147:I147"/>
    <mergeCell ref="G148:I148"/>
    <mergeCell ref="G149:I149"/>
    <mergeCell ref="G150:I150"/>
    <mergeCell ref="E131:E133"/>
    <mergeCell ref="E159:E161"/>
    <mergeCell ref="E138:E143"/>
    <mergeCell ref="F138:F139"/>
    <mergeCell ref="F140:F141"/>
  </mergeCells>
  <hyperlinks>
    <hyperlink ref="G1:G3" location="'Kampanie zeroemisyjne WP'!A1" display="'Kampanie zeroemisyjne WP'!A1" xr:uid="{0A068983-BFAA-4E4D-8809-5CCB939963FC}"/>
  </hyperlinks>
  <pageMargins left="0.7" right="0.7" top="0.75" bottom="0.75" header="0.3" footer="0.3"/>
  <pageSetup paperSize="256" scale="55" fitToHeight="0"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9">
    <pageSetUpPr fitToPage="1"/>
  </sheetPr>
  <dimension ref="A1:P54"/>
  <sheetViews>
    <sheetView zoomScaleNormal="100" workbookViewId="0">
      <pane ySplit="4" topLeftCell="A5" activePane="bottomLeft" state="frozen"/>
      <selection activeCell="N1" sqref="N1:S3"/>
      <selection pane="bottomLeft" activeCell="A7" sqref="A7"/>
    </sheetView>
  </sheetViews>
  <sheetFormatPr defaultColWidth="15.42578125" defaultRowHeight="12.75"/>
  <cols>
    <col min="1" max="1" width="2.85546875" style="2" customWidth="1"/>
    <col min="2" max="2" width="5.7109375" style="2" customWidth="1"/>
    <col min="3" max="3" width="22.85546875" style="2" customWidth="1"/>
    <col min="4" max="4" width="35" style="2" customWidth="1"/>
    <col min="5" max="16" width="15" style="2" customWidth="1"/>
    <col min="17" max="16384" width="15.42578125" style="2"/>
  </cols>
  <sheetData>
    <row r="1" spans="2:16" ht="12.75" customHeight="1">
      <c r="G1" s="798" t="s">
        <v>542</v>
      </c>
      <c r="H1" s="798"/>
      <c r="I1" s="798"/>
      <c r="J1" s="798"/>
      <c r="K1" s="135"/>
      <c r="L1" s="799" t="str">
        <f>IF('Język - Language'!$B$30="Polski",CONCATENATE("Cennik Reklamowy Wirtualna Polska Media S.A. - obowiązuje od 1.01.2023 r.",CHAR(10),"W celu zasięgnięcia dodatkowych informacji prosimy o kontakt z Biurem Reklamy,",CHAR(10),"reklama@grupawp.pl, tel. (+48) 22 57 63 900; fax (+48) 22 57 63 959"),CONCATENATE("Advertising price list of Wirtualna Polska Media S.A. - valid from January 1, 2023",CHAR(10),"For further information please contact the Advertising Office of WP,",CHAR(10),"reklama@grupawp.pl, phone (+48) 22 57 63 900; fax (+48) 22 57 63 959"))</f>
        <v>Cennik Reklamowy Wirtualna Polska Media S.A. - obowiązuje od 1.01.2023 r.
W celu zasięgnięcia dodatkowych informacji prosimy o kontakt z Biurem Reklamy,
reklama@grupawp.pl, tel. (+48) 22 57 63 900; fax (+48) 22 57 63 959</v>
      </c>
      <c r="M1" s="799"/>
      <c r="N1" s="799"/>
      <c r="O1" s="799"/>
      <c r="P1" s="799"/>
    </row>
    <row r="2" spans="2:16" ht="12.75" customHeight="1">
      <c r="D2" s="151"/>
      <c r="E2" s="135"/>
      <c r="F2" s="135"/>
      <c r="G2" s="798"/>
      <c r="H2" s="798"/>
      <c r="I2" s="798"/>
      <c r="J2" s="798"/>
      <c r="K2" s="135"/>
      <c r="L2" s="799"/>
      <c r="M2" s="799"/>
      <c r="N2" s="799"/>
      <c r="O2" s="799"/>
      <c r="P2" s="799"/>
    </row>
    <row r="3" spans="2:16" ht="12.75" customHeight="1">
      <c r="D3" s="151"/>
      <c r="E3" s="135"/>
      <c r="F3" s="135"/>
      <c r="G3" s="798"/>
      <c r="H3" s="798"/>
      <c r="I3" s="798"/>
      <c r="J3" s="798"/>
      <c r="K3" s="135"/>
      <c r="L3" s="799"/>
      <c r="M3" s="799"/>
      <c r="N3" s="799"/>
      <c r="O3" s="799"/>
      <c r="P3" s="799"/>
    </row>
    <row r="4" spans="2:16" s="29" customFormat="1" ht="12.75" customHeight="1">
      <c r="C4" s="520" t="str">
        <f>IF('Język - Language'!$B$30="Polski","           Oferta Wideo","            Video")</f>
        <v xml:space="preserve">           Oferta Wideo</v>
      </c>
    </row>
    <row r="5" spans="2:16" ht="12.75" customHeight="1"/>
    <row r="6" spans="2:16" ht="12.75" customHeight="1"/>
    <row r="7" spans="2:16" ht="25.5" customHeight="1">
      <c r="C7" s="1079" t="str">
        <f>IF('Język - Language'!$B$30="Polski","PAKIET","PACKAGE")</f>
        <v>PAKIET</v>
      </c>
      <c r="D7" s="1081" t="str">
        <f>IF('Język - Language'!$B$30="Polski","MIEJSCE EMISJI","PLACE OF EMISSION")</f>
        <v>MIEJSCE EMISJI</v>
      </c>
      <c r="E7" s="1072" t="s">
        <v>528</v>
      </c>
      <c r="F7" s="1073"/>
      <c r="G7" s="1075"/>
      <c r="H7" s="1072" t="s">
        <v>530</v>
      </c>
      <c r="I7" s="1073"/>
      <c r="J7" s="1075"/>
      <c r="K7" s="1072" t="s">
        <v>532</v>
      </c>
      <c r="L7" s="1073"/>
      <c r="M7" s="1075"/>
      <c r="N7" s="1072" t="s">
        <v>211</v>
      </c>
      <c r="O7" s="1073"/>
      <c r="P7" s="1074"/>
    </row>
    <row r="8" spans="2:16" ht="25.5" customHeight="1">
      <c r="C8" s="1080"/>
      <c r="D8" s="1082"/>
      <c r="E8" s="656" t="s">
        <v>212</v>
      </c>
      <c r="F8" s="656" t="s">
        <v>213</v>
      </c>
      <c r="G8" s="656" t="s">
        <v>214</v>
      </c>
      <c r="H8" s="656" t="s">
        <v>212</v>
      </c>
      <c r="I8" s="656" t="s">
        <v>213</v>
      </c>
      <c r="J8" s="656" t="s">
        <v>214</v>
      </c>
      <c r="K8" s="656" t="s">
        <v>212</v>
      </c>
      <c r="L8" s="656" t="s">
        <v>213</v>
      </c>
      <c r="M8" s="656" t="s">
        <v>214</v>
      </c>
      <c r="N8" s="656" t="s">
        <v>212</v>
      </c>
      <c r="O8" s="656" t="s">
        <v>213</v>
      </c>
      <c r="P8" s="656" t="s">
        <v>214</v>
      </c>
    </row>
    <row r="9" spans="2:16" ht="90" customHeight="1">
      <c r="B9" s="739" t="str">
        <f>IF('Język - Language'!$B$30="Polski","EMISJA ODSŁONOWA","CPM EMISSION")</f>
        <v>EMISJA ODSŁONOWA</v>
      </c>
      <c r="C9" s="141" t="s">
        <v>215</v>
      </c>
      <c r="D9" s="138" t="str">
        <f>IF('Język - Language'!$B$30="Polski","WPM Zasięg (bez stron głównych o2 i WP oraz bez serwisów pocztowych)","WPM Reach (without o2 HP, WP HP and e-mail services)")</f>
        <v>WPM Zasięg (bez stron głównych o2 i WP oraz bez serwisów pocztowych)</v>
      </c>
      <c r="E9" s="307">
        <v>0.01</v>
      </c>
      <c r="F9" s="352">
        <v>0.02</v>
      </c>
      <c r="G9" s="308">
        <v>0.03</v>
      </c>
      <c r="H9" s="307">
        <v>0.01</v>
      </c>
      <c r="I9" s="1076">
        <v>0.02</v>
      </c>
      <c r="J9" s="1077"/>
      <c r="K9" s="307">
        <v>8</v>
      </c>
      <c r="L9" s="352">
        <v>13</v>
      </c>
      <c r="M9" s="308">
        <v>20</v>
      </c>
      <c r="N9" s="327">
        <v>6</v>
      </c>
      <c r="O9" s="325">
        <v>10</v>
      </c>
      <c r="P9" s="326">
        <v>15</v>
      </c>
    </row>
    <row r="10" spans="2:16" ht="12.75" customHeight="1">
      <c r="B10" s="275"/>
      <c r="C10" s="144" t="s">
        <v>216</v>
      </c>
      <c r="D10" s="357"/>
      <c r="E10" s="274"/>
      <c r="F10" s="274"/>
      <c r="G10" s="274"/>
      <c r="H10" s="274"/>
      <c r="I10" s="274"/>
      <c r="J10" s="274"/>
      <c r="K10" s="274"/>
      <c r="L10" s="274"/>
    </row>
    <row r="11" spans="2:16" ht="12.75" customHeight="1">
      <c r="B11" s="356"/>
      <c r="C11" s="363" t="s">
        <v>217</v>
      </c>
      <c r="D11" s="364"/>
      <c r="E11" s="274"/>
      <c r="F11" s="274"/>
      <c r="G11" s="274"/>
      <c r="H11" s="274"/>
      <c r="I11" s="274"/>
      <c r="J11" s="274"/>
      <c r="K11" s="274"/>
      <c r="L11" s="274"/>
    </row>
    <row r="12" spans="2:16" ht="12.75" customHeight="1">
      <c r="B12" s="356"/>
      <c r="C12" s="363"/>
      <c r="D12" s="364"/>
      <c r="E12" s="274"/>
      <c r="F12" s="274"/>
      <c r="G12" s="274"/>
      <c r="H12" s="274"/>
      <c r="I12" s="274"/>
      <c r="J12" s="274"/>
      <c r="K12" s="274"/>
      <c r="L12" s="274"/>
    </row>
    <row r="13" spans="2:16" ht="12.75" customHeight="1">
      <c r="B13" s="855" t="s">
        <v>218</v>
      </c>
      <c r="C13" s="1092" t="s">
        <v>219</v>
      </c>
      <c r="D13" s="1092"/>
      <c r="E13" s="1092"/>
      <c r="F13" s="1092"/>
      <c r="G13" s="1092"/>
      <c r="H13" s="1092"/>
      <c r="I13" s="274"/>
      <c r="J13" s="274"/>
      <c r="K13" s="274"/>
      <c r="L13" s="274"/>
    </row>
    <row r="14" spans="2:16" ht="30" customHeight="1">
      <c r="B14" s="855"/>
      <c r="C14" s="1093" t="s">
        <v>220</v>
      </c>
      <c r="D14" s="1093"/>
      <c r="E14" s="1093"/>
      <c r="F14" s="1093"/>
      <c r="G14" s="1093"/>
      <c r="H14" s="1093"/>
      <c r="I14" s="274"/>
      <c r="J14" s="274"/>
      <c r="K14" s="274"/>
      <c r="L14" s="274"/>
    </row>
    <row r="15" spans="2:16" ht="15" customHeight="1">
      <c r="B15" s="855"/>
      <c r="C15" s="1068" t="s">
        <v>221</v>
      </c>
      <c r="D15" s="1068"/>
      <c r="E15" s="1069"/>
      <c r="G15" s="1070" t="s">
        <v>221</v>
      </c>
      <c r="H15" s="1071"/>
      <c r="I15" s="274"/>
      <c r="J15" s="274"/>
      <c r="K15" s="274"/>
      <c r="L15" s="274"/>
    </row>
    <row r="16" spans="2:16" ht="15" customHeight="1">
      <c r="B16" s="855"/>
      <c r="C16" s="502" t="s">
        <v>222</v>
      </c>
      <c r="D16" s="502" t="s">
        <v>223</v>
      </c>
      <c r="E16" s="502" t="s">
        <v>224</v>
      </c>
      <c r="F16" s="274"/>
      <c r="G16" s="502" t="s">
        <v>222</v>
      </c>
      <c r="H16" s="502" t="s">
        <v>224</v>
      </c>
      <c r="I16" s="274"/>
      <c r="J16" s="274"/>
      <c r="K16" s="274"/>
      <c r="L16" s="274"/>
    </row>
    <row r="17" spans="2:14" ht="15" customHeight="1">
      <c r="B17" s="855"/>
      <c r="C17" s="496" t="s">
        <v>225</v>
      </c>
      <c r="D17" s="1094">
        <v>1</v>
      </c>
      <c r="E17" s="1095" t="s">
        <v>226</v>
      </c>
      <c r="F17" s="497"/>
      <c r="G17" s="498" t="s">
        <v>225</v>
      </c>
      <c r="H17" s="1095" t="s">
        <v>227</v>
      </c>
      <c r="I17" s="274"/>
      <c r="J17" s="274"/>
      <c r="K17" s="274"/>
      <c r="L17" s="274"/>
    </row>
    <row r="18" spans="2:14" ht="15" customHeight="1">
      <c r="B18" s="855"/>
      <c r="C18" s="496" t="s">
        <v>228</v>
      </c>
      <c r="D18" s="1094"/>
      <c r="E18" s="1095"/>
      <c r="F18" s="497"/>
      <c r="G18" s="498" t="s">
        <v>228</v>
      </c>
      <c r="H18" s="1095"/>
      <c r="I18" s="274"/>
      <c r="J18" s="274"/>
      <c r="K18" s="274"/>
      <c r="L18" s="274"/>
    </row>
    <row r="19" spans="2:14" ht="15" customHeight="1">
      <c r="B19" s="855"/>
      <c r="C19" s="496" t="s">
        <v>229</v>
      </c>
      <c r="D19" s="1094"/>
      <c r="E19" s="1095"/>
      <c r="F19" s="497"/>
      <c r="G19" s="498" t="s">
        <v>229</v>
      </c>
      <c r="H19" s="1095"/>
      <c r="I19" s="274"/>
      <c r="J19" s="274"/>
      <c r="K19" s="274"/>
      <c r="L19" s="274"/>
    </row>
    <row r="20" spans="2:14" ht="15" customHeight="1">
      <c r="B20" s="855"/>
      <c r="C20" s="496" t="s">
        <v>230</v>
      </c>
      <c r="D20" s="1094"/>
      <c r="E20" s="1095" t="s">
        <v>231</v>
      </c>
      <c r="F20" s="497"/>
      <c r="G20" s="498" t="s">
        <v>230</v>
      </c>
      <c r="H20" s="1095" t="s">
        <v>232</v>
      </c>
      <c r="I20" s="274"/>
      <c r="J20" s="274"/>
      <c r="K20" s="274"/>
      <c r="L20" s="274"/>
    </row>
    <row r="21" spans="2:14" ht="15" customHeight="1">
      <c r="B21" s="855"/>
      <c r="C21" s="496" t="s">
        <v>233</v>
      </c>
      <c r="D21" s="1094"/>
      <c r="E21" s="1095"/>
      <c r="F21" s="497"/>
      <c r="G21" s="498" t="s">
        <v>233</v>
      </c>
      <c r="H21" s="1095"/>
      <c r="I21" s="274"/>
      <c r="J21" s="274"/>
      <c r="K21" s="274"/>
      <c r="L21" s="274"/>
    </row>
    <row r="22" spans="2:14" ht="15" customHeight="1">
      <c r="B22" s="855"/>
      <c r="C22" s="496" t="s">
        <v>234</v>
      </c>
      <c r="D22" s="1094"/>
      <c r="E22" s="499" t="s">
        <v>235</v>
      </c>
      <c r="F22" s="497"/>
      <c r="G22" s="498" t="s">
        <v>234</v>
      </c>
      <c r="H22" s="500" t="s">
        <v>236</v>
      </c>
      <c r="I22" s="274"/>
      <c r="J22" s="274"/>
      <c r="K22" s="274"/>
      <c r="L22" s="274"/>
    </row>
    <row r="23" spans="2:14" ht="15" customHeight="1">
      <c r="B23" s="855"/>
      <c r="C23" s="496" t="s">
        <v>237</v>
      </c>
      <c r="D23" s="1094"/>
      <c r="E23" s="499" t="s">
        <v>238</v>
      </c>
      <c r="F23" s="497"/>
      <c r="G23" s="498" t="s">
        <v>237</v>
      </c>
      <c r="H23" s="501" t="s">
        <v>239</v>
      </c>
      <c r="I23" s="274"/>
      <c r="J23" s="274"/>
      <c r="K23" s="274"/>
      <c r="L23" s="274"/>
    </row>
    <row r="24" spans="2:14" ht="15" customHeight="1">
      <c r="B24" s="855"/>
      <c r="C24" s="496" t="s">
        <v>240</v>
      </c>
      <c r="D24" s="1094"/>
      <c r="E24" s="499" t="s">
        <v>241</v>
      </c>
      <c r="F24" s="497"/>
      <c r="G24" s="498" t="s">
        <v>240</v>
      </c>
      <c r="H24" s="501" t="s">
        <v>242</v>
      </c>
      <c r="I24" s="274"/>
      <c r="J24" s="274"/>
      <c r="K24" s="274"/>
      <c r="L24" s="274"/>
    </row>
    <row r="25" spans="2:14" ht="15" customHeight="1">
      <c r="B25" s="855"/>
      <c r="C25" s="496" t="s">
        <v>243</v>
      </c>
      <c r="D25" s="1094"/>
      <c r="E25" s="499" t="s">
        <v>244</v>
      </c>
      <c r="F25" s="497"/>
      <c r="G25" s="498" t="s">
        <v>243</v>
      </c>
      <c r="H25" s="501" t="s">
        <v>245</v>
      </c>
      <c r="I25" s="274"/>
      <c r="J25" s="274"/>
      <c r="K25" s="274"/>
      <c r="L25" s="274"/>
    </row>
    <row r="26" spans="2:14" ht="12.75" customHeight="1">
      <c r="B26" s="356"/>
      <c r="C26" s="363"/>
      <c r="D26" s="364"/>
      <c r="E26" s="274"/>
      <c r="F26" s="274"/>
      <c r="G26" s="274"/>
      <c r="H26" s="274"/>
      <c r="I26" s="274"/>
      <c r="J26" s="274"/>
      <c r="K26" s="274"/>
      <c r="L26" s="274"/>
    </row>
    <row r="27" spans="2:14" ht="12.75" customHeight="1">
      <c r="B27" s="356"/>
      <c r="C27" s="363"/>
      <c r="D27" s="364"/>
      <c r="E27" s="274"/>
      <c r="F27" s="274"/>
      <c r="G27" s="274"/>
      <c r="H27" s="274"/>
      <c r="I27" s="274"/>
      <c r="J27" s="274"/>
      <c r="K27" s="274"/>
      <c r="L27" s="274"/>
    </row>
    <row r="28" spans="2:14" ht="12.75" customHeight="1">
      <c r="B28" s="356"/>
      <c r="D28" s="273"/>
      <c r="E28" s="274"/>
      <c r="F28" s="274"/>
      <c r="G28" s="274"/>
      <c r="H28" s="274"/>
      <c r="I28" s="274"/>
      <c r="J28" s="274"/>
      <c r="K28" s="274"/>
      <c r="L28" s="274"/>
    </row>
    <row r="29" spans="2:14" ht="37.5" customHeight="1">
      <c r="B29" s="855" t="s">
        <v>246</v>
      </c>
      <c r="C29" s="1083" t="str">
        <f>IF('Język - Language'!$B$30="Polski","PAKIET","PACKAGE")</f>
        <v>PAKIET</v>
      </c>
      <c r="D29" s="1086" t="str">
        <f>IF('Język - Language'!$B$30="Polski","MIEJSCE EMISJI","PLACE OF EMISSION")</f>
        <v>MIEJSCE EMISJI</v>
      </c>
      <c r="E29" s="1089" t="str">
        <f>IF('Język - Language'!$B$30="Polski","InStream Video Ad CPM, Instream Video Skip Ad CPM (net net)","INSTREAM VIDEO AD CPM, PREROLL SKIP AD CPM (net net)")</f>
        <v>InStream Video Ad CPM, Instream Video Skip Ad CPM (net net)</v>
      </c>
      <c r="F29" s="1090"/>
      <c r="G29" s="1091"/>
      <c r="H29" s="114" t="s">
        <v>247</v>
      </c>
      <c r="I29" s="114" t="s">
        <v>248</v>
      </c>
      <c r="J29" s="279" t="s">
        <v>249</v>
      </c>
      <c r="N29" s="142"/>
    </row>
    <row r="30" spans="2:14" ht="25.5" customHeight="1">
      <c r="B30" s="855"/>
      <c r="C30" s="1084"/>
      <c r="D30" s="1087"/>
      <c r="E30" s="1089" t="str">
        <f>IF('Język - Language'!$B$30="Polski","rozliczenie CPM za rozpoczęte odtworzenia, wg statystyk wewnętrznych WPM²","CPM settlement for started video playbacks, according to internal statistics of WPM²")</f>
        <v>rozliczenie CPM za rozpoczęte odtworzenia, wg statystyk wewnętrznych WPM²</v>
      </c>
      <c r="F30" s="1090"/>
      <c r="G30" s="1091"/>
      <c r="H30" s="277"/>
      <c r="I30" s="371"/>
      <c r="J30" s="278"/>
      <c r="L30" s="142"/>
      <c r="N30" s="142"/>
    </row>
    <row r="31" spans="2:14" ht="25.5" customHeight="1">
      <c r="B31" s="855"/>
      <c r="C31" s="1085"/>
      <c r="D31" s="1088"/>
      <c r="E31" s="131" t="s">
        <v>213</v>
      </c>
      <c r="F31" s="129" t="str">
        <f>IF('Język - Language'!$B$30="Polski",CONCATENATE("30",CHAR(34)," i dłuższy³"),CONCATENATE("30",CHAR(34)," or longer³"))</f>
        <v>30" i dłuższy³</v>
      </c>
      <c r="G31" s="129" t="s">
        <v>250</v>
      </c>
      <c r="H31" s="130" t="s">
        <v>251</v>
      </c>
      <c r="I31" s="130" t="s">
        <v>252</v>
      </c>
      <c r="J31" s="130" t="s">
        <v>251</v>
      </c>
      <c r="N31" s="142"/>
    </row>
    <row r="32" spans="2:14" ht="45" customHeight="1">
      <c r="B32" s="855"/>
      <c r="C32" s="132" t="s">
        <v>215</v>
      </c>
      <c r="D32" s="138" t="str">
        <f>IF('Język - Language'!$B$30="Polski","WPM Zasięg (bez stron głównych o2 i WP oraz bez serwisów pocztowych)","WPM Reach (without o2 HP, WP HP and e-mail services)")</f>
        <v>WPM Zasięg (bez stron głównych o2 i WP oraz bez serwisów pocztowych)</v>
      </c>
      <c r="E32" s="329" t="s">
        <v>141</v>
      </c>
      <c r="F32" s="330" t="s">
        <v>141</v>
      </c>
      <c r="G32" s="358" t="s">
        <v>141</v>
      </c>
      <c r="H32" s="328" t="s">
        <v>141</v>
      </c>
      <c r="I32" s="372" t="s">
        <v>141</v>
      </c>
      <c r="J32" s="105">
        <v>6</v>
      </c>
      <c r="N32" s="142"/>
    </row>
    <row r="33" spans="1:15" ht="45" customHeight="1">
      <c r="B33" s="855"/>
      <c r="C33" s="276" t="s">
        <v>253</v>
      </c>
      <c r="D33" s="239" t="s">
        <v>254</v>
      </c>
      <c r="E33" s="272">
        <v>13</v>
      </c>
      <c r="F33" s="322">
        <v>20</v>
      </c>
      <c r="G33" s="331" t="s">
        <v>141</v>
      </c>
      <c r="H33" s="359" t="s">
        <v>141</v>
      </c>
      <c r="I33" s="350" t="s">
        <v>141</v>
      </c>
      <c r="J33" s="350" t="s">
        <v>141</v>
      </c>
      <c r="N33" s="142"/>
    </row>
    <row r="34" spans="1:15" ht="45" customHeight="1">
      <c r="B34" s="1078"/>
      <c r="C34" s="355" t="s">
        <v>163</v>
      </c>
      <c r="D34" s="154" t="s">
        <v>255</v>
      </c>
      <c r="E34" s="334" t="s">
        <v>141</v>
      </c>
      <c r="F34" s="333" t="s">
        <v>141</v>
      </c>
      <c r="G34" s="332" t="s">
        <v>141</v>
      </c>
      <c r="H34" s="303">
        <v>8</v>
      </c>
      <c r="I34" s="303">
        <v>4</v>
      </c>
      <c r="J34" s="350" t="s">
        <v>141</v>
      </c>
      <c r="N34" s="142"/>
    </row>
    <row r="35" spans="1:15">
      <c r="C35" s="363" t="s">
        <v>256</v>
      </c>
      <c r="D35" s="117"/>
      <c r="E35" s="142"/>
      <c r="F35" s="142"/>
      <c r="G35" s="142"/>
      <c r="H35" s="142"/>
      <c r="I35" s="142"/>
      <c r="K35" s="142"/>
      <c r="L35" s="142"/>
      <c r="M35" s="115"/>
      <c r="N35" s="142"/>
      <c r="O35" s="142"/>
    </row>
    <row r="36" spans="1:15">
      <c r="C36" s="363"/>
      <c r="D36" s="117"/>
      <c r="E36" s="142"/>
      <c r="F36" s="142"/>
      <c r="G36" s="142"/>
      <c r="H36" s="142"/>
      <c r="I36" s="142"/>
      <c r="K36" s="142"/>
      <c r="L36" s="142"/>
      <c r="M36" s="115"/>
      <c r="N36" s="142"/>
      <c r="O36" s="142"/>
    </row>
    <row r="37" spans="1:15">
      <c r="C37" s="116" t="str">
        <f>IF('Język - Language'!$B$30="Polski","¹ OutStream - dotyczy emisji tylko na wybranych serwisach, niedostępny dla modelu Skip Ad","¹ OutStream - available only in selected sites, not avaible for Skip Ad")</f>
        <v>¹ OutStream - dotyczy emisji tylko na wybranych serwisach, niedostępny dla modelu Skip Ad</v>
      </c>
      <c r="D37" s="1"/>
      <c r="O37" s="142"/>
    </row>
    <row r="38" spans="1:15">
      <c r="C38" s="142" t="str">
        <f>IF('Język - Language'!$B$30="Polski","² W przypadku emisji InStream Video Ad z kodów emisyjnych (nie dotyczy oferty 3x100) dopłata do ceny bazowej +30%. Dopłata ta dopuszcza ewentualną doemisję maksymalnie 30% różnicy pomiędzy statystykami po stronie klienta i po stronie WPM.","² In case of Instream Video Ad broadcast from external codes, the extra charge of 30% applies")</f>
        <v>² W przypadku emisji InStream Video Ad z kodów emisyjnych (nie dotyczy oferty 3x100) dopłata do ceny bazowej +30%. Dopłata ta dopuszcza ewentualną doemisję maksymalnie 30% różnicy pomiędzy statystykami po stronie klienta i po stronie WPM.</v>
      </c>
    </row>
    <row r="39" spans="1:15">
      <c r="C39" s="142" t="str">
        <f>IF('Język - Language'!$B$30="Polski",CONCATENATE("³ InStream Video Ad 30",CHAR(34),"+ tylko w modelu Skip Ad. Dopłata za zwiększenie długości spotu zgodna z poniższą tabelką."),CONCATENATE("³ InStream Video Ad 30",CHAR(34),"+ only for Skip Ad. Surcharge in accordance with the surcharge table."))</f>
        <v>³ InStream Video Ad 30"+ tylko w modelu Skip Ad. Dopłata za zwiększenie długości spotu zgodna z poniższą tabelką.</v>
      </c>
    </row>
    <row r="40" spans="1:15">
      <c r="C40" s="96" t="s">
        <v>257</v>
      </c>
    </row>
    <row r="41" spans="1:15">
      <c r="C41" s="96" t="s">
        <v>529</v>
      </c>
    </row>
    <row r="42" spans="1:15">
      <c r="C42" s="96" t="s">
        <v>531</v>
      </c>
    </row>
    <row r="43" spans="1:15">
      <c r="C43" s="96" t="s">
        <v>533</v>
      </c>
    </row>
    <row r="45" spans="1:15">
      <c r="C45" s="96"/>
    </row>
    <row r="46" spans="1:15">
      <c r="C46" s="144" t="s">
        <v>259</v>
      </c>
    </row>
    <row r="47" spans="1:15" ht="15">
      <c r="C47" s="144" t="s">
        <v>260</v>
      </c>
      <c r="D47" s="171"/>
    </row>
    <row r="48" spans="1:15">
      <c r="A48" s="271"/>
      <c r="C48" s="335" t="s">
        <v>261</v>
      </c>
      <c r="D48" s="361"/>
      <c r="E48" s="362"/>
      <c r="F48" s="337"/>
    </row>
    <row r="49" spans="3:6">
      <c r="C49" s="360" t="s">
        <v>262</v>
      </c>
      <c r="D49" s="361"/>
      <c r="E49" s="362"/>
      <c r="F49" s="336" t="s">
        <v>263</v>
      </c>
    </row>
    <row r="50" spans="3:6">
      <c r="C50" s="360" t="s">
        <v>264</v>
      </c>
      <c r="D50" s="361"/>
      <c r="E50" s="362"/>
      <c r="F50" s="336" t="s">
        <v>265</v>
      </c>
    </row>
    <row r="51" spans="3:6">
      <c r="C51" s="360" t="s">
        <v>266</v>
      </c>
      <c r="D51" s="361"/>
      <c r="E51" s="362"/>
      <c r="F51" s="336" t="s">
        <v>267</v>
      </c>
    </row>
    <row r="52" spans="3:6">
      <c r="C52" s="360" t="s">
        <v>268</v>
      </c>
      <c r="D52" s="361"/>
      <c r="E52" s="362"/>
      <c r="F52" s="336" t="s">
        <v>269</v>
      </c>
    </row>
    <row r="53" spans="3:6">
      <c r="C53" s="360" t="s">
        <v>270</v>
      </c>
      <c r="D53" s="361"/>
      <c r="E53" s="362"/>
      <c r="F53" s="336" t="s">
        <v>271</v>
      </c>
    </row>
    <row r="54" spans="3:6">
      <c r="C54" s="360" t="s">
        <v>250</v>
      </c>
      <c r="D54" s="365"/>
      <c r="E54" s="337"/>
      <c r="F54" s="336" t="s">
        <v>272</v>
      </c>
    </row>
  </sheetData>
  <mergeCells count="24">
    <mergeCell ref="B29:B34"/>
    <mergeCell ref="C7:C8"/>
    <mergeCell ref="E7:G7"/>
    <mergeCell ref="D7:D8"/>
    <mergeCell ref="C29:C31"/>
    <mergeCell ref="D29:D31"/>
    <mergeCell ref="E30:G30"/>
    <mergeCell ref="E29:G29"/>
    <mergeCell ref="C13:H13"/>
    <mergeCell ref="C14:H14"/>
    <mergeCell ref="D17:D25"/>
    <mergeCell ref="E17:E19"/>
    <mergeCell ref="H17:H19"/>
    <mergeCell ref="E20:E21"/>
    <mergeCell ref="H20:H21"/>
    <mergeCell ref="B13:B25"/>
    <mergeCell ref="C15:E15"/>
    <mergeCell ref="G15:H15"/>
    <mergeCell ref="L1:P3"/>
    <mergeCell ref="N7:P7"/>
    <mergeCell ref="K7:M7"/>
    <mergeCell ref="H7:J7"/>
    <mergeCell ref="I9:J9"/>
    <mergeCell ref="G1:J3"/>
  </mergeCells>
  <hyperlinks>
    <hyperlink ref="G1:G3" location="'Kampanie zeroemisyjne WP'!A1" display="'Kampanie zeroemisyjne WP'!A1" xr:uid="{CB1D74F5-284F-4334-A01F-9CF8731B809C}"/>
  </hyperlinks>
  <pageMargins left="0.7" right="0.7" top="0.75" bottom="0.75" header="0.3" footer="0.3"/>
  <pageSetup paperSize="256" fitToHeight="0" orientation="landscape" r:id="rId1"/>
  <ignoredErrors>
    <ignoredError sqref="F49:F54"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1"/>
  <sheetViews>
    <sheetView zoomScaleNormal="100" workbookViewId="0">
      <selection activeCell="A7" sqref="A7"/>
    </sheetView>
  </sheetViews>
  <sheetFormatPr defaultColWidth="9.140625" defaultRowHeight="15"/>
  <cols>
    <col min="1" max="1" width="9.140625" style="11"/>
    <col min="2" max="2" width="43" style="11" customWidth="1"/>
    <col min="3" max="3" width="55" style="11" customWidth="1"/>
    <col min="4" max="4" width="39" style="11" customWidth="1"/>
    <col min="5" max="16384" width="9.140625" style="11"/>
  </cols>
  <sheetData>
    <row r="1" spans="1:8" ht="12.75" customHeight="1">
      <c r="C1" s="799" t="str">
        <f>IF('Język - Language'!$B$30="Polski",CONCATENATE("Cennik Reklamowy Wirtualna Polska Media S.A. - obowiązuje od 1.01.2023 r.",CHAR(10),"W celu zasięgnięcia dodatkowych informacji prosimy o kontakt z Biurem Reklamy,",CHAR(10),"reklama@grupawp.pl, tel. (+48) 22 57 63 900; fax (+48) 22 57 63 959"),CONCATENATE("Advertising price list of Wirtualna Polska Media S.A. - valid from January 1, 2023",CHAR(10),"For further information please contact the Advertising Office of WP,",CHAR(10),"reklama@grupawp.pl, phone (+48) 22 57 63 900; fax (+48) 22 57 63 959"))</f>
        <v>Cennik Reklamowy Wirtualna Polska Media S.A. - obowiązuje od 1.01.2023 r.
W celu zasięgnięcia dodatkowych informacji prosimy o kontakt z Biurem Reklamy,
reklama@grupawp.pl, tel. (+48) 22 57 63 900; fax (+48) 22 57 63 959</v>
      </c>
      <c r="D1" s="799"/>
    </row>
    <row r="2" spans="1:8" ht="12.75" customHeight="1">
      <c r="C2" s="799"/>
      <c r="D2" s="799"/>
    </row>
    <row r="3" spans="1:8" ht="12.75" customHeight="1">
      <c r="C3" s="799"/>
      <c r="D3" s="799"/>
    </row>
    <row r="4" spans="1:8" s="29" customFormat="1" ht="12.75" customHeight="1">
      <c r="B4" s="520" t="s">
        <v>273</v>
      </c>
      <c r="D4" s="30"/>
      <c r="H4" s="134"/>
    </row>
    <row r="5" spans="1:8" s="2" customFormat="1" ht="12.75" customHeight="1">
      <c r="C5" s="503"/>
      <c r="D5" s="503"/>
      <c r="H5" s="504"/>
    </row>
    <row r="6" spans="1:8">
      <c r="B6" s="510"/>
      <c r="C6" s="510"/>
      <c r="D6" s="510"/>
    </row>
    <row r="7" spans="1:8" ht="25.5" customHeight="1">
      <c r="A7" s="509"/>
      <c r="B7" s="1096" t="s">
        <v>274</v>
      </c>
      <c r="C7" s="1097"/>
      <c r="D7" s="558" t="s">
        <v>275</v>
      </c>
    </row>
    <row r="8" spans="1:8" ht="48" customHeight="1">
      <c r="B8" s="1098" t="s">
        <v>276</v>
      </c>
      <c r="C8" s="1098"/>
      <c r="D8" s="753" t="s">
        <v>277</v>
      </c>
    </row>
    <row r="9" spans="1:8">
      <c r="B9" s="511"/>
      <c r="C9" s="511"/>
      <c r="D9" s="511"/>
    </row>
    <row r="10" spans="1:8" ht="25.5" customHeight="1">
      <c r="A10" s="509"/>
      <c r="B10" s="1099" t="s">
        <v>278</v>
      </c>
      <c r="C10" s="1100"/>
      <c r="D10" s="1101"/>
    </row>
    <row r="11" spans="1:8" ht="48" customHeight="1">
      <c r="B11" s="507" t="s">
        <v>279</v>
      </c>
      <c r="C11" s="508" t="s">
        <v>280</v>
      </c>
      <c r="D11" s="753" t="s">
        <v>281</v>
      </c>
    </row>
    <row r="12" spans="1:8" ht="48" customHeight="1">
      <c r="B12" s="506" t="s">
        <v>282</v>
      </c>
      <c r="C12" s="506" t="s">
        <v>283</v>
      </c>
      <c r="D12" s="754" t="s">
        <v>281</v>
      </c>
    </row>
    <row r="13" spans="1:8" ht="48" customHeight="1">
      <c r="B13" s="506" t="s">
        <v>284</v>
      </c>
      <c r="C13" s="506" t="s">
        <v>285</v>
      </c>
      <c r="D13" s="754" t="s">
        <v>281</v>
      </c>
    </row>
    <row r="14" spans="1:8" ht="48" customHeight="1">
      <c r="B14" s="506" t="s">
        <v>286</v>
      </c>
      <c r="C14" s="506" t="s">
        <v>287</v>
      </c>
      <c r="D14" s="754" t="s">
        <v>288</v>
      </c>
    </row>
    <row r="15" spans="1:8" ht="48" customHeight="1">
      <c r="B15" s="506" t="s">
        <v>289</v>
      </c>
      <c r="C15" s="506" t="s">
        <v>290</v>
      </c>
      <c r="D15" s="754" t="s">
        <v>291</v>
      </c>
    </row>
    <row r="16" spans="1:8" ht="48" customHeight="1">
      <c r="B16" s="506" t="s">
        <v>292</v>
      </c>
      <c r="C16" s="506" t="s">
        <v>293</v>
      </c>
      <c r="D16" s="754" t="s">
        <v>294</v>
      </c>
    </row>
    <row r="17" spans="2:4" ht="48" customHeight="1">
      <c r="B17" s="506" t="s">
        <v>295</v>
      </c>
      <c r="C17" s="506" t="s">
        <v>296</v>
      </c>
      <c r="D17" s="754" t="s">
        <v>288</v>
      </c>
    </row>
    <row r="18" spans="2:4" ht="48" customHeight="1">
      <c r="B18" s="506" t="s">
        <v>297</v>
      </c>
      <c r="C18" s="506" t="s">
        <v>298</v>
      </c>
      <c r="D18" s="754" t="s">
        <v>294</v>
      </c>
    </row>
    <row r="19" spans="2:4" ht="48" customHeight="1">
      <c r="B19" s="506" t="s">
        <v>299</v>
      </c>
      <c r="C19" s="506" t="s">
        <v>300</v>
      </c>
      <c r="D19" s="754" t="s">
        <v>141</v>
      </c>
    </row>
    <row r="20" spans="2:4" ht="15.75">
      <c r="B20" s="505"/>
    </row>
    <row r="21" spans="2:4">
      <c r="B21" s="116" t="str">
        <f>IF('Język - Language'!$B$30="Polski","¹ Zastosowanie mechanizmów nie wyszczególnionych w tabelce wymaga indywidualnego potwierdzenia takiej możliwości i jej wyceny","¹ OutStream - available only in selected sites, not avaible for Skip Ad")</f>
        <v>¹ Zastosowanie mechanizmów nie wyszczególnionych w tabelce wymaga indywidualnego potwierdzenia takiej możliwości i jej wyceny</v>
      </c>
    </row>
  </sheetData>
  <mergeCells count="4">
    <mergeCell ref="B7:C7"/>
    <mergeCell ref="B8:C8"/>
    <mergeCell ref="B10:D10"/>
    <mergeCell ref="C1:D3"/>
  </mergeCells>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5">
    <pageSetUpPr fitToPage="1"/>
  </sheetPr>
  <dimension ref="B1:U34"/>
  <sheetViews>
    <sheetView zoomScaleNormal="100" workbookViewId="0">
      <pane ySplit="4" topLeftCell="A5" activePane="bottomLeft" state="frozen"/>
      <selection pane="bottomLeft" activeCell="A7" sqref="A7"/>
    </sheetView>
  </sheetViews>
  <sheetFormatPr defaultColWidth="25" defaultRowHeight="12.75"/>
  <cols>
    <col min="1" max="1" width="2.85546875" style="2" customWidth="1"/>
    <col min="2" max="2" width="5.7109375" style="2" customWidth="1"/>
    <col min="3" max="3" width="28.42578125" style="2" customWidth="1"/>
    <col min="4" max="4" width="38.5703125" style="2" customWidth="1"/>
    <col min="5" max="5" width="18.140625" style="2" customWidth="1"/>
    <col min="6" max="14" width="11.42578125" style="2" customWidth="1"/>
    <col min="15" max="16384" width="25" style="2"/>
  </cols>
  <sheetData>
    <row r="1" spans="2:14" ht="12.75" customHeight="1">
      <c r="F1" s="799" t="str">
        <f>IF('Język - Language'!$B$30="Polski",CONCATENATE("Cennik Reklamowy Wirtualna Polska Media S.A. - obowiązuje od 1.01.2023 r.",CHAR(10),"W celu zasięgnięcia dodatkowych informacji prosimy o kontakt z Biurem Reklamy,",CHAR(10),"reklama@grupawp.pl, tel. (+48) 22 57 63 900; fax (+48) 22 57 63 959"),CONCATENATE("Advertising price list of Wirtualna Polska Media S.A. - valid from January 1, 2023",CHAR(10),"For further information please contact the Advertising Office of WP,",CHAR(10),"reklama@grupawp.pl, phone (+48) 22 57 63 900; fax (+48) 22 57 63 959"))</f>
        <v>Cennik Reklamowy Wirtualna Polska Media S.A. - obowiązuje od 1.01.2023 r.
W celu zasięgnięcia dodatkowych informacji prosimy o kontakt z Biurem Reklamy,
reklama@grupawp.pl, tel. (+48) 22 57 63 900; fax (+48) 22 57 63 959</v>
      </c>
      <c r="G1" s="799"/>
      <c r="H1" s="799"/>
      <c r="I1" s="799"/>
      <c r="J1" s="799"/>
      <c r="K1" s="799"/>
      <c r="L1" s="799"/>
      <c r="M1" s="799"/>
    </row>
    <row r="2" spans="2:14" ht="12.75" customHeight="1">
      <c r="D2" s="135"/>
      <c r="E2" s="135"/>
      <c r="F2" s="799"/>
      <c r="G2" s="799"/>
      <c r="H2" s="799"/>
      <c r="I2" s="799"/>
      <c r="J2" s="799"/>
      <c r="K2" s="799"/>
      <c r="L2" s="799"/>
      <c r="M2" s="799"/>
    </row>
    <row r="3" spans="2:14" ht="12.75" customHeight="1">
      <c r="D3" s="135"/>
      <c r="E3" s="135"/>
      <c r="F3" s="799"/>
      <c r="G3" s="799"/>
      <c r="H3" s="799"/>
      <c r="I3" s="799"/>
      <c r="J3" s="799"/>
      <c r="K3" s="799"/>
      <c r="L3" s="799"/>
      <c r="M3" s="799"/>
    </row>
    <row r="4" spans="2:14" s="29" customFormat="1" ht="12.75" customHeight="1">
      <c r="C4" s="520" t="str">
        <f>IF('Język - Language'!$B$30="Polski","               Poczta - Mailing reklamowy, emisje stałe display","               Email service - Advertising mailing, flat fee emissions")</f>
        <v xml:space="preserve">               Poczta - Mailing reklamowy, emisje stałe display</v>
      </c>
      <c r="H4" s="227"/>
      <c r="I4" s="227"/>
      <c r="M4" s="134" t="str">
        <f>IF('Język - Language'!$B$30="Polski","PL","EN")</f>
        <v>PL</v>
      </c>
    </row>
    <row r="5" spans="2:14" ht="12.75" customHeight="1"/>
    <row r="6" spans="2:14" ht="12.75" customHeight="1"/>
    <row r="7" spans="2:14" ht="25.5" customHeight="1">
      <c r="C7" s="1022" t="str">
        <f>IF('Język - Language'!$B$30="Polski","MIEJSCE EMISJI","PLACE OF EMISSION")</f>
        <v>MIEJSCE EMISJI</v>
      </c>
      <c r="D7" s="1022" t="str">
        <f>IF('Język - Language'!$B$30="Polski","FORMAT GRAFICZNY","ADVERTISING FORMAT")</f>
        <v>FORMAT GRAFICZNY</v>
      </c>
      <c r="E7" s="839" t="s">
        <v>301</v>
      </c>
      <c r="F7" s="839" t="s">
        <v>302</v>
      </c>
      <c r="G7" s="839"/>
      <c r="H7" s="839"/>
      <c r="I7" s="551"/>
      <c r="J7" s="839" t="s">
        <v>303</v>
      </c>
      <c r="K7" s="839"/>
      <c r="L7" s="839"/>
      <c r="M7" s="841"/>
    </row>
    <row r="8" spans="2:14" ht="12.75" customHeight="1">
      <c r="C8" s="1022"/>
      <c r="D8" s="1022"/>
      <c r="E8" s="839"/>
      <c r="F8" s="989" t="str">
        <f>IF('Język - Language'!$B$30="Polski","DZIEŃ²","DAY²")</f>
        <v>DZIEŃ²</v>
      </c>
      <c r="G8" s="989"/>
      <c r="H8" s="839" t="str">
        <f>IF('Język - Language'!$B$30="Polski","TYDZIEŃ","WEEK")</f>
        <v>TYDZIEŃ</v>
      </c>
      <c r="I8" s="839"/>
      <c r="J8" s="839" t="str">
        <f>IF('Język - Language'!$B$30="Polski","DZIEŃ²","DAY²")</f>
        <v>DZIEŃ²</v>
      </c>
      <c r="K8" s="839"/>
      <c r="L8" s="1235" t="str">
        <f>IF('Język - Language'!$B$30="Polski","TYDZIEŃ","WEEK")</f>
        <v>TYDZIEŃ</v>
      </c>
      <c r="M8" s="990"/>
      <c r="N8" s="40"/>
    </row>
    <row r="9" spans="2:14" ht="12.75" customHeight="1">
      <c r="C9" s="1104"/>
      <c r="D9" s="1104"/>
      <c r="E9" s="840"/>
      <c r="F9" s="1000" t="s">
        <v>69</v>
      </c>
      <c r="G9" s="1000"/>
      <c r="H9" s="840" t="s">
        <v>69</v>
      </c>
      <c r="I9" s="840"/>
      <c r="J9" s="840" t="s">
        <v>69</v>
      </c>
      <c r="K9" s="840"/>
      <c r="L9" s="1000" t="s">
        <v>69</v>
      </c>
      <c r="M9" s="1001"/>
      <c r="N9" s="40"/>
    </row>
    <row r="10" spans="2:14" ht="12.75" customHeight="1">
      <c r="C10" s="1240"/>
      <c r="D10" s="1240"/>
      <c r="E10" s="1238"/>
      <c r="F10" s="1236" t="s">
        <v>546</v>
      </c>
      <c r="G10" s="1241" t="s">
        <v>547</v>
      </c>
      <c r="H10" s="1236" t="s">
        <v>546</v>
      </c>
      <c r="I10" s="1241" t="s">
        <v>547</v>
      </c>
      <c r="J10" s="1237" t="s">
        <v>546</v>
      </c>
      <c r="K10" s="1241" t="s">
        <v>547</v>
      </c>
      <c r="L10" s="1237" t="s">
        <v>546</v>
      </c>
      <c r="M10" s="1241" t="s">
        <v>547</v>
      </c>
      <c r="N10" s="40"/>
    </row>
    <row r="11" spans="2:14" ht="25.5" customHeight="1">
      <c r="B11" s="1102" t="s">
        <v>304</v>
      </c>
      <c r="C11" s="1105"/>
      <c r="D11" s="534" t="s">
        <v>305</v>
      </c>
      <c r="E11" s="1239" t="s">
        <v>306</v>
      </c>
      <c r="F11" s="1242" t="s">
        <v>141</v>
      </c>
      <c r="G11" s="1243"/>
      <c r="H11" s="1242">
        <v>420000</v>
      </c>
      <c r="I11" s="1243"/>
      <c r="J11" s="1242" t="s">
        <v>141</v>
      </c>
      <c r="K11" s="1243"/>
      <c r="L11" s="1242">
        <v>160000</v>
      </c>
      <c r="M11" s="1243"/>
    </row>
    <row r="12" spans="2:14" ht="25.5" customHeight="1">
      <c r="B12" s="1102"/>
      <c r="C12" s="1106"/>
      <c r="D12" s="522" t="str">
        <f>IF('Język - Language'!$B$30="Polski","Full Page Login Box","Full Page Login Box")</f>
        <v>Full Page Login Box</v>
      </c>
      <c r="E12" s="763" t="s">
        <v>307</v>
      </c>
      <c r="F12" s="1174" t="s">
        <v>141</v>
      </c>
      <c r="G12" s="1175"/>
      <c r="H12" s="1174">
        <v>890000</v>
      </c>
      <c r="I12" s="1175"/>
      <c r="J12" s="1174" t="s">
        <v>141</v>
      </c>
      <c r="K12" s="1175"/>
      <c r="L12" s="1174">
        <v>275000</v>
      </c>
      <c r="M12" s="1175"/>
    </row>
    <row r="13" spans="2:14" ht="25.5" customHeight="1">
      <c r="B13" s="1102"/>
      <c r="C13" s="528" t="s">
        <v>308</v>
      </c>
      <c r="D13" s="534" t="str">
        <f>IF('Język - Language'!$B$30="Polski","Double Billboard/Wideboard¹","Double Billboard/Wideboard¹")</f>
        <v>Double Billboard/Wideboard¹</v>
      </c>
      <c r="E13" s="764" t="s">
        <v>307</v>
      </c>
      <c r="F13" s="1244">
        <v>305000</v>
      </c>
      <c r="G13" s="1245"/>
      <c r="H13" s="1244" t="s">
        <v>141</v>
      </c>
      <c r="I13" s="1245"/>
      <c r="J13" s="1244">
        <v>145000</v>
      </c>
      <c r="K13" s="1245"/>
      <c r="L13" s="1244" t="s">
        <v>141</v>
      </c>
      <c r="M13" s="1245"/>
    </row>
    <row r="14" spans="2:14" ht="25.5" customHeight="1">
      <c r="B14" s="1102"/>
      <c r="C14" s="1107" t="str">
        <f>IF('Język - Language'!$B$30="Polski","Interfejs Poczty","Email service interface")</f>
        <v>Interfejs Poczty</v>
      </c>
      <c r="D14" s="662" t="s">
        <v>309</v>
      </c>
      <c r="E14" s="765" t="s">
        <v>306</v>
      </c>
      <c r="F14" s="1246" t="s">
        <v>141</v>
      </c>
      <c r="G14" s="1247"/>
      <c r="H14" s="1246">
        <v>650000</v>
      </c>
      <c r="I14" s="1247"/>
      <c r="J14" s="1246" t="s">
        <v>141</v>
      </c>
      <c r="K14" s="1247"/>
      <c r="L14" s="1246">
        <v>300000</v>
      </c>
      <c r="M14" s="1247"/>
    </row>
    <row r="15" spans="2:14" ht="25.5" customHeight="1">
      <c r="B15" s="1102"/>
      <c r="C15" s="1105"/>
      <c r="D15" s="602" t="s">
        <v>310</v>
      </c>
      <c r="E15" s="762" t="s">
        <v>306</v>
      </c>
      <c r="F15" s="1248" t="s">
        <v>141</v>
      </c>
      <c r="G15" s="1249"/>
      <c r="H15" s="1248">
        <v>300000</v>
      </c>
      <c r="I15" s="1249"/>
      <c r="J15" s="1248" t="s">
        <v>141</v>
      </c>
      <c r="K15" s="1249"/>
      <c r="L15" s="1248">
        <v>150000</v>
      </c>
      <c r="M15" s="1249"/>
    </row>
    <row r="16" spans="2:14" ht="25.5" customHeight="1">
      <c r="B16" s="1102"/>
      <c r="C16" s="1105"/>
      <c r="D16" s="1234" t="s">
        <v>548</v>
      </c>
      <c r="E16" s="762" t="s">
        <v>306</v>
      </c>
      <c r="F16" s="318">
        <v>230000</v>
      </c>
      <c r="G16" s="314">
        <v>290000</v>
      </c>
      <c r="H16" s="1248" t="s">
        <v>141</v>
      </c>
      <c r="I16" s="1249"/>
      <c r="J16" s="318">
        <v>75000</v>
      </c>
      <c r="K16" s="314">
        <v>105000</v>
      </c>
      <c r="L16" s="1248" t="s">
        <v>141</v>
      </c>
      <c r="M16" s="1249"/>
    </row>
    <row r="17" spans="2:20" ht="25.5" customHeight="1">
      <c r="B17" s="1102"/>
      <c r="C17" s="1105"/>
      <c r="D17" s="1234" t="s">
        <v>549</v>
      </c>
      <c r="E17" s="762" t="s">
        <v>306</v>
      </c>
      <c r="F17" s="318">
        <v>115000</v>
      </c>
      <c r="G17" s="314">
        <v>145000</v>
      </c>
      <c r="H17" s="1248" t="s">
        <v>141</v>
      </c>
      <c r="I17" s="1249"/>
      <c r="J17" s="318">
        <v>40000</v>
      </c>
      <c r="K17" s="314">
        <v>60000</v>
      </c>
      <c r="L17" s="1248" t="s">
        <v>141</v>
      </c>
      <c r="M17" s="1249"/>
    </row>
    <row r="18" spans="2:20" ht="25.5" customHeight="1">
      <c r="B18" s="1102"/>
      <c r="C18" s="1105"/>
      <c r="D18" s="1108" t="s">
        <v>56</v>
      </c>
      <c r="E18" s="766" t="s">
        <v>307</v>
      </c>
      <c r="F18" s="1248">
        <v>190000</v>
      </c>
      <c r="G18" s="1249"/>
      <c r="H18" s="1248" t="s">
        <v>141</v>
      </c>
      <c r="I18" s="1249"/>
      <c r="J18" s="1248">
        <v>95000</v>
      </c>
      <c r="K18" s="1249"/>
      <c r="L18" s="1248" t="s">
        <v>141</v>
      </c>
      <c r="M18" s="1249"/>
    </row>
    <row r="19" spans="2:20" ht="25.5" customHeight="1">
      <c r="B19" s="1102"/>
      <c r="C19" s="1105"/>
      <c r="D19" s="936"/>
      <c r="E19" s="766" t="s">
        <v>306</v>
      </c>
      <c r="F19" s="1248">
        <v>180000</v>
      </c>
      <c r="G19" s="1249"/>
      <c r="H19" s="1248" t="s">
        <v>141</v>
      </c>
      <c r="I19" s="1249"/>
      <c r="J19" s="1248">
        <v>90000</v>
      </c>
      <c r="K19" s="1249"/>
      <c r="L19" s="1248" t="s">
        <v>141</v>
      </c>
      <c r="M19" s="1249"/>
    </row>
    <row r="20" spans="2:20" ht="25.5" customHeight="1">
      <c r="B20" s="1102"/>
      <c r="C20" s="1105"/>
      <c r="D20" s="534" t="str">
        <f>IF('Język - Language'!$B$30="Polski","Skyscraper (lewa kolumna)","Skyscraper (left side)")</f>
        <v>Skyscraper (lewa kolumna)</v>
      </c>
      <c r="E20" s="764" t="s">
        <v>307</v>
      </c>
      <c r="F20" s="1248">
        <v>330000</v>
      </c>
      <c r="G20" s="1249"/>
      <c r="H20" s="1248" t="s">
        <v>141</v>
      </c>
      <c r="I20" s="1249"/>
      <c r="J20" s="1248">
        <v>110000</v>
      </c>
      <c r="K20" s="1249"/>
      <c r="L20" s="1248" t="s">
        <v>141</v>
      </c>
      <c r="M20" s="1249"/>
    </row>
    <row r="21" spans="2:20" ht="25.5" customHeight="1">
      <c r="B21" s="1102"/>
      <c r="C21" s="1105"/>
      <c r="D21" s="521" t="s">
        <v>311</v>
      </c>
      <c r="E21" s="766" t="s">
        <v>307</v>
      </c>
      <c r="F21" s="1248">
        <v>175000</v>
      </c>
      <c r="G21" s="1249"/>
      <c r="H21" s="1248" t="s">
        <v>141</v>
      </c>
      <c r="I21" s="1249"/>
      <c r="J21" s="1248">
        <v>100000</v>
      </c>
      <c r="K21" s="1249"/>
      <c r="L21" s="1248" t="s">
        <v>141</v>
      </c>
      <c r="M21" s="1249"/>
    </row>
    <row r="22" spans="2:20" ht="25.5" customHeight="1">
      <c r="B22" s="1102"/>
      <c r="C22" s="1105"/>
      <c r="D22" s="521" t="s">
        <v>312</v>
      </c>
      <c r="E22" s="766" t="s">
        <v>307</v>
      </c>
      <c r="F22" s="1248">
        <v>450000</v>
      </c>
      <c r="G22" s="1249"/>
      <c r="H22" s="1248" t="s">
        <v>141</v>
      </c>
      <c r="I22" s="1249"/>
      <c r="J22" s="1248">
        <v>190000</v>
      </c>
      <c r="K22" s="1249"/>
      <c r="L22" s="1248" t="s">
        <v>141</v>
      </c>
      <c r="M22" s="1249"/>
    </row>
    <row r="23" spans="2:20" ht="25.5" customHeight="1">
      <c r="B23" s="1102"/>
      <c r="C23" s="1106"/>
      <c r="D23" s="660" t="str">
        <f>IF('Język - Language'!$B$30="Polski","Rectangle (podgląd załączników)","Rectangle (in a preview of attachments)")</f>
        <v>Rectangle (podgląd załączników)</v>
      </c>
      <c r="E23" s="763" t="s">
        <v>307</v>
      </c>
      <c r="F23" s="1174" t="s">
        <v>141</v>
      </c>
      <c r="G23" s="1175"/>
      <c r="H23" s="1174">
        <v>150000</v>
      </c>
      <c r="I23" s="1175"/>
      <c r="J23" s="1174" t="s">
        <v>141</v>
      </c>
      <c r="K23" s="1175"/>
      <c r="L23" s="1174">
        <v>60000</v>
      </c>
      <c r="M23" s="1175"/>
    </row>
    <row r="24" spans="2:20" ht="25.5" customHeight="1">
      <c r="B24" s="1102"/>
      <c r="C24" s="529" t="str">
        <f>IF('Język - Language'!$B$30="Polski","Po wylogowaniu z Poczty","After logging out")</f>
        <v>Po wylogowaniu z Poczty</v>
      </c>
      <c r="D24" s="661" t="s">
        <v>514</v>
      </c>
      <c r="E24" s="294" t="s">
        <v>307</v>
      </c>
      <c r="F24" s="1244">
        <v>110000</v>
      </c>
      <c r="G24" s="1245"/>
      <c r="H24" s="1244" t="s">
        <v>141</v>
      </c>
      <c r="I24" s="1245"/>
      <c r="J24" s="1244">
        <v>65000</v>
      </c>
      <c r="K24" s="1245"/>
      <c r="L24" s="1244" t="s">
        <v>141</v>
      </c>
      <c r="M24" s="1245"/>
    </row>
    <row r="25" spans="2:20" ht="12.75" customHeight="1">
      <c r="C25" s="112" t="str">
        <f>IF('Język - Language'!$B$30="Polski","¹ możliwość emisji formatu 970x200, również jako Retail Dniówka, zgodnie z tabelą dopłat: 50% za mega format","¹ special Retail Daily Emission is available for 970x200 format with extra charge, also as Retail Dniówka, according to the table of surcharges: 50% for the mega format")</f>
        <v>¹ możliwość emisji formatu 970x200, również jako Retail Dniówka, zgodnie z tabelą dopłat: 50% za mega format</v>
      </c>
      <c r="D25" s="3"/>
      <c r="E25" s="3"/>
      <c r="F25" s="3"/>
      <c r="G25" s="3"/>
      <c r="H25" s="3"/>
      <c r="I25" s="3"/>
      <c r="J25" s="3"/>
      <c r="K25" s="3"/>
      <c r="L25" s="3"/>
    </row>
    <row r="26" spans="2:20" ht="12.75" customHeight="1">
      <c r="C26" s="112" t="str">
        <f>IF('Język - Language'!$B$30="Polski","² emisja w dzień weekendowy -30% na desktop","² weekend day -30% on desktop")</f>
        <v>² emisja w dzień weekendowy -30% na desktop</v>
      </c>
      <c r="D26" s="3"/>
      <c r="E26" s="3"/>
      <c r="F26" s="3"/>
      <c r="G26" s="3"/>
      <c r="H26" s="3"/>
      <c r="I26" s="3"/>
      <c r="J26" s="3"/>
      <c r="K26" s="3"/>
      <c r="L26" s="3"/>
    </row>
    <row r="27" spans="2:20">
      <c r="C27" s="481" t="s">
        <v>313</v>
      </c>
      <c r="D27" s="23"/>
      <c r="J27" s="3"/>
      <c r="K27" s="3"/>
      <c r="L27" s="3"/>
      <c r="M27" s="3"/>
    </row>
    <row r="28" spans="2:20">
      <c r="C28" s="481" t="str">
        <f>IF('Język - Language'!$B$30="Polski","⁴ format dostępny również w PMP (Private Marketplace), cena ustalana indywidualnie","⁴ ad form is also available in PMP (Private Marketplace), the price is set individually")</f>
        <v>⁴ format dostępny również w PMP (Private Marketplace), cena ustalana indywidualnie</v>
      </c>
      <c r="D28" s="23"/>
      <c r="J28" s="3"/>
      <c r="K28" s="3"/>
      <c r="L28" s="3"/>
      <c r="M28" s="3"/>
    </row>
    <row r="29" spans="2:20">
      <c r="F29" s="17"/>
      <c r="G29" s="17"/>
    </row>
    <row r="30" spans="2:20" ht="25.5" customHeight="1">
      <c r="B30" s="855" t="s">
        <v>314</v>
      </c>
      <c r="C30" s="1022" t="s">
        <v>315</v>
      </c>
      <c r="D30" s="72" t="s">
        <v>316</v>
      </c>
      <c r="E30" s="64"/>
      <c r="F30" s="800"/>
      <c r="G30" s="796"/>
      <c r="H30" s="800"/>
      <c r="I30" s="796"/>
      <c r="J30" s="800"/>
      <c r="K30" s="796"/>
      <c r="L30" s="796"/>
      <c r="M30" s="800"/>
      <c r="O30" s="802"/>
      <c r="P30" s="802"/>
      <c r="Q30" s="802"/>
      <c r="R30" s="802"/>
      <c r="S30" s="802"/>
      <c r="T30" s="802"/>
    </row>
    <row r="31" spans="2:20" ht="12.75" customHeight="1">
      <c r="B31" s="855"/>
      <c r="C31" s="1022"/>
      <c r="D31" s="562" t="s">
        <v>317</v>
      </c>
      <c r="E31" s="64"/>
      <c r="F31" s="800"/>
      <c r="G31" s="796"/>
      <c r="H31" s="800"/>
      <c r="I31" s="796"/>
      <c r="J31" s="800"/>
      <c r="K31" s="796"/>
      <c r="L31" s="796"/>
      <c r="M31" s="800"/>
      <c r="O31" s="351"/>
      <c r="P31" s="351"/>
      <c r="Q31" s="351"/>
      <c r="R31" s="351"/>
      <c r="S31" s="351"/>
      <c r="T31" s="351"/>
    </row>
    <row r="32" spans="2:20" ht="25.5" customHeight="1">
      <c r="B32" s="855"/>
      <c r="C32" s="530" t="str">
        <f>IF('Język - Language'!$B$30="Polski","Mailing HTML 100 kB","Mailing HTML 100 kB")</f>
        <v>Mailing HTML 100 kB</v>
      </c>
      <c r="D32" s="407">
        <v>20</v>
      </c>
      <c r="E32" s="162"/>
      <c r="F32" s="801"/>
      <c r="G32" s="797"/>
      <c r="H32" s="801"/>
      <c r="I32" s="797"/>
      <c r="J32" s="801"/>
      <c r="K32" s="797"/>
      <c r="L32" s="797"/>
      <c r="M32" s="801"/>
      <c r="O32" s="146"/>
      <c r="P32" s="805"/>
      <c r="Q32" s="805"/>
      <c r="R32" s="805"/>
      <c r="S32" s="805"/>
      <c r="T32" s="805"/>
    </row>
    <row r="33" spans="3:21" ht="37.5" customHeight="1">
      <c r="C33" s="1103" t="str">
        <f>IF('Język - Language'!$B$30="Polski",CONCATENATE("¹ Mailing jest dostarczany do użytkownika w momencie, gdy po raz pierwszy odbiera on pocztę ze swojej skrzynki, w okresie ważności mailingu. Mailing może być kierowany do konkretnej grupy odbiorców poprzez mechanizm targetowania."," Czas oczekiwania wysłanych listów na pobranie z serwera pocztowego wynosi standardowo 28 dni (w razie konieczności wcześniejszego przerwania mailingu prosimy o zawarcie tego w zamówieniu)."),CONCATENATE("¹ Mailing advertisements are delivered to users when they receive e-mail from their inbox during the effective period of the mailing service. Mailing advertisements may be aimed at a specific group of recipients by a targeting mechanism."," The waiting time for downloading the sent e-mails from the e-mail server as a standard is 28 days (in case of earlier termination of the mailing service, please include such information in the order)."))</f>
        <v>¹ Mailing jest dostarczany do użytkownika w momencie, gdy po raz pierwszy odbiera on pocztę ze swojej skrzynki, w okresie ważności mailingu. Mailing może być kierowany do konkretnej grupy odbiorców poprzez mechanizm targetowania. Czas oczekiwania wysłanych listów na pobranie z serwera pocztowego wynosi standardowo 28 dni (w razie konieczności wcześniejszego przerwania mailingu prosimy o zawarcie tego w zamówieniu).</v>
      </c>
      <c r="D33" s="1103"/>
      <c r="E33" s="1103"/>
      <c r="F33" s="1103"/>
      <c r="G33" s="1103"/>
      <c r="H33" s="1103"/>
      <c r="I33" s="1103"/>
      <c r="J33" s="1103"/>
      <c r="K33" s="1103"/>
      <c r="L33" s="1103"/>
      <c r="M33" s="1103"/>
      <c r="N33" s="46"/>
      <c r="P33" s="60"/>
      <c r="Q33" s="807"/>
      <c r="R33" s="807"/>
      <c r="S33" s="807"/>
      <c r="T33" s="807"/>
      <c r="U33" s="807"/>
    </row>
    <row r="34" spans="3:21" ht="12.75" customHeight="1">
      <c r="C34" s="1103" t="str">
        <f>IF('Język - Language'!$B$30="Polski","² Cena uwzględnia dwa parametry targetowania demograficznego","² The price takes into account two demographic targeting parameters")</f>
        <v>² Cena uwzględnia dwa parametry targetowania demograficznego</v>
      </c>
      <c r="D34" s="1103"/>
      <c r="E34" s="1103"/>
      <c r="F34" s="1103"/>
      <c r="G34" s="1103"/>
      <c r="H34" s="1103"/>
      <c r="I34" s="1103"/>
      <c r="J34" s="1103"/>
      <c r="K34" s="1103"/>
      <c r="L34" s="1103"/>
      <c r="M34" s="1103"/>
      <c r="N34" s="46"/>
      <c r="P34" s="61"/>
      <c r="Q34" s="810"/>
      <c r="R34" s="810"/>
      <c r="S34" s="810"/>
      <c r="T34" s="810"/>
      <c r="U34" s="810"/>
    </row>
  </sheetData>
  <mergeCells count="82">
    <mergeCell ref="J23:K23"/>
    <mergeCell ref="J24:K24"/>
    <mergeCell ref="L16:M16"/>
    <mergeCell ref="L17:M17"/>
    <mergeCell ref="L18:M18"/>
    <mergeCell ref="L19:M19"/>
    <mergeCell ref="L20:M20"/>
    <mergeCell ref="L21:M21"/>
    <mergeCell ref="L22:M22"/>
    <mergeCell ref="L23:M23"/>
    <mergeCell ref="L24:M24"/>
    <mergeCell ref="J18:K18"/>
    <mergeCell ref="J19:K19"/>
    <mergeCell ref="J20:K20"/>
    <mergeCell ref="J21:K21"/>
    <mergeCell ref="J22:K22"/>
    <mergeCell ref="J14:K14"/>
    <mergeCell ref="J15:K15"/>
    <mergeCell ref="L11:M11"/>
    <mergeCell ref="L12:M12"/>
    <mergeCell ref="L13:M13"/>
    <mergeCell ref="L14:M14"/>
    <mergeCell ref="L15:M15"/>
    <mergeCell ref="H20:I20"/>
    <mergeCell ref="H21:I21"/>
    <mergeCell ref="H22:I22"/>
    <mergeCell ref="H23:I23"/>
    <mergeCell ref="H24:I24"/>
    <mergeCell ref="H15:I15"/>
    <mergeCell ref="H16:I16"/>
    <mergeCell ref="H17:I17"/>
    <mergeCell ref="H18:I18"/>
    <mergeCell ref="H19:I19"/>
    <mergeCell ref="L8:M8"/>
    <mergeCell ref="L9:M9"/>
    <mergeCell ref="F11:G11"/>
    <mergeCell ref="F12:G12"/>
    <mergeCell ref="F13:G13"/>
    <mergeCell ref="H11:I11"/>
    <mergeCell ref="H12:I12"/>
    <mergeCell ref="H13:I13"/>
    <mergeCell ref="J11:K11"/>
    <mergeCell ref="J12:K12"/>
    <mergeCell ref="J13:K13"/>
    <mergeCell ref="F8:G8"/>
    <mergeCell ref="F9:G9"/>
    <mergeCell ref="H8:I8"/>
    <mergeCell ref="H9:I9"/>
    <mergeCell ref="J8:K8"/>
    <mergeCell ref="J9:K9"/>
    <mergeCell ref="C7:C9"/>
    <mergeCell ref="D7:D9"/>
    <mergeCell ref="E7:E9"/>
    <mergeCell ref="F1:M3"/>
    <mergeCell ref="O30:T30"/>
    <mergeCell ref="J30:J32"/>
    <mergeCell ref="M30:M32"/>
    <mergeCell ref="P32:T32"/>
    <mergeCell ref="F30:F32"/>
    <mergeCell ref="H30:H32"/>
    <mergeCell ref="J7:M7"/>
    <mergeCell ref="F7:H7"/>
    <mergeCell ref="C30:C31"/>
    <mergeCell ref="C11:C12"/>
    <mergeCell ref="C14:C23"/>
    <mergeCell ref="D18:D19"/>
    <mergeCell ref="B11:B24"/>
    <mergeCell ref="Q34:U34"/>
    <mergeCell ref="C34:M34"/>
    <mergeCell ref="Q33:U33"/>
    <mergeCell ref="C33:M33"/>
    <mergeCell ref="B30:B32"/>
    <mergeCell ref="F14:G14"/>
    <mergeCell ref="F15:G15"/>
    <mergeCell ref="F18:G18"/>
    <mergeCell ref="F19:G19"/>
    <mergeCell ref="F20:G20"/>
    <mergeCell ref="F21:G21"/>
    <mergeCell ref="F22:G22"/>
    <mergeCell ref="F23:G23"/>
    <mergeCell ref="F24:G24"/>
    <mergeCell ref="H14:I14"/>
  </mergeCells>
  <pageMargins left="0.7" right="0.7" top="0.75" bottom="0.75" header="0.3" footer="0.3"/>
  <pageSetup paperSize="256" scale="68" fitToHeight="0" orientation="landscape" r:id="rId1"/>
  <ignoredErrors>
    <ignoredError sqref="J8 H8"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15</vt:i4>
      </vt:variant>
    </vt:vector>
  </HeadingPairs>
  <TitlesOfParts>
    <vt:vector size="15" baseType="lpstr">
      <vt:lpstr>Język - Language</vt:lpstr>
      <vt:lpstr>WP.PL Strona Główna - Flat Fee</vt:lpstr>
      <vt:lpstr>Multiscreen FF - pozostałe</vt:lpstr>
      <vt:lpstr>Mobile FF</vt:lpstr>
      <vt:lpstr>Desktop FF</vt:lpstr>
      <vt:lpstr>Serwisy &amp; Pakiety</vt:lpstr>
      <vt:lpstr>Wideo &amp; Audio</vt:lpstr>
      <vt:lpstr>Instreamly</vt:lpstr>
      <vt:lpstr>Poczta - Email service</vt:lpstr>
      <vt:lpstr>e-commerce</vt:lpstr>
      <vt:lpstr>Rich Media</vt:lpstr>
      <vt:lpstr>Content Marketing</vt:lpstr>
      <vt:lpstr>Dopłaty - Extra charges</vt:lpstr>
      <vt:lpstr>Docs</vt:lpstr>
      <vt:lpstr>Kampanie zeroemisyjne WP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2023-05-18T10:07:56Z</dcterms:modified>
  <cp:category/>
  <cp:contentStatus/>
</cp:coreProperties>
</file>