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codeName="Ten_skoroszyt"/>
  <xr:revisionPtr revIDLastSave="0" documentId="13_ncr:1_{A79479A5-993A-4F7A-B1AC-83B5F1102AF5}" xr6:coauthVersionLast="47" xr6:coauthVersionMax="47" xr10:uidLastSave="{00000000-0000-0000-0000-000000000000}"/>
  <bookViews>
    <workbookView xWindow="28920" yWindow="270" windowWidth="28380" windowHeight="16875" tabRatio="851" activeTab="1" xr2:uid="{00000000-000D-0000-FFFF-FFFF00000000}"/>
  </bookViews>
  <sheets>
    <sheet name="Język - Language" sheetId="15" r:id="rId1"/>
    <sheet name="Multiscreen" sheetId="8" r:id="rId2"/>
    <sheet name="Mobile Flat Fee" sheetId="20" r:id="rId3"/>
    <sheet name="Desktop Flat Fee" sheetId="19" r:id="rId4"/>
    <sheet name="Serwisy &amp; Pakiety" sheetId="12" r:id="rId5"/>
    <sheet name="Wideo &amp; Audio" sheetId="4" r:id="rId6"/>
    <sheet name="Poczta - Email service" sheetId="11" r:id="rId7"/>
    <sheet name="Content Marketing" sheetId="17" r:id="rId8"/>
    <sheet name="Dopłaty - Extra charges" sheetId="2" r:id="rId9"/>
    <sheet name="Instreamly" sheetId="21" r:id="rId10"/>
    <sheet name="Docs" sheetId="13"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1" i="21" l="1"/>
  <c r="C1" i="21"/>
  <c r="B4" i="2"/>
  <c r="K55" i="8" l="1"/>
  <c r="K109" i="8" l="1"/>
  <c r="G47" i="19"/>
  <c r="G48" i="19"/>
  <c r="G42" i="19"/>
  <c r="G41" i="19"/>
  <c r="G38" i="19"/>
  <c r="G37" i="19"/>
  <c r="G49" i="19"/>
  <c r="G46" i="19"/>
  <c r="G28" i="19"/>
  <c r="G30" i="19"/>
  <c r="G29" i="19"/>
  <c r="G45" i="20"/>
  <c r="G43" i="20"/>
  <c r="G44" i="20"/>
  <c r="G50" i="20"/>
  <c r="G70" i="20"/>
  <c r="G69" i="20"/>
  <c r="G49" i="20"/>
  <c r="G35" i="20"/>
  <c r="G36" i="20"/>
  <c r="G37" i="20"/>
  <c r="G38" i="20"/>
  <c r="G39" i="20"/>
  <c r="G29" i="20" l="1"/>
  <c r="G30" i="20"/>
  <c r="G27" i="20"/>
  <c r="G28" i="20"/>
  <c r="G64" i="20"/>
  <c r="G65" i="20"/>
  <c r="G56" i="20"/>
  <c r="G57" i="20"/>
  <c r="G63" i="20"/>
  <c r="G62" i="20"/>
  <c r="G61" i="20" l="1"/>
  <c r="G55" i="20"/>
  <c r="G31" i="20"/>
  <c r="H143" i="8"/>
  <c r="H145" i="8"/>
  <c r="H146" i="8"/>
  <c r="H139" i="8"/>
  <c r="R20" i="12" l="1"/>
  <c r="P20" i="12"/>
  <c r="N20" i="12"/>
  <c r="N59" i="12"/>
  <c r="D61" i="12"/>
  <c r="J20" i="12"/>
  <c r="J59" i="12"/>
  <c r="F20" i="12"/>
  <c r="H20" i="12"/>
  <c r="H59" i="12"/>
  <c r="F59" i="12"/>
  <c r="D22" i="12"/>
  <c r="R21" i="12"/>
  <c r="P21" i="12"/>
  <c r="N21" i="12"/>
  <c r="J21" i="12"/>
  <c r="H21" i="12"/>
  <c r="F21" i="12"/>
  <c r="R42" i="12" l="1"/>
  <c r="P42" i="12"/>
  <c r="N42" i="12"/>
  <c r="J42" i="12"/>
  <c r="H42" i="12"/>
  <c r="F42" i="12"/>
  <c r="R107" i="12"/>
  <c r="P107" i="12"/>
  <c r="D46" i="12"/>
  <c r="D108" i="12"/>
  <c r="N107" i="12"/>
  <c r="J107" i="12"/>
  <c r="H107" i="12"/>
  <c r="F107" i="12"/>
  <c r="D69" i="12"/>
  <c r="R68" i="12"/>
  <c r="P68" i="12"/>
  <c r="N68" i="12"/>
  <c r="J68" i="12"/>
  <c r="H68" i="12"/>
  <c r="F68" i="12"/>
  <c r="J89" i="12" l="1"/>
  <c r="H89" i="12"/>
  <c r="F89" i="12"/>
  <c r="D92" i="12"/>
  <c r="J54" i="12"/>
  <c r="H54" i="12"/>
  <c r="F54" i="12"/>
  <c r="O105" i="12" l="1"/>
  <c r="M105" i="12"/>
  <c r="L105" i="12"/>
  <c r="K105" i="12"/>
  <c r="I105" i="12"/>
  <c r="G105" i="12"/>
  <c r="R32" i="12"/>
  <c r="R105" i="12" s="1"/>
  <c r="P32" i="12"/>
  <c r="P105" i="12" s="1"/>
  <c r="N32" i="12"/>
  <c r="N105" i="12" s="1"/>
  <c r="J32" i="12"/>
  <c r="J105" i="12" s="1"/>
  <c r="H32" i="12"/>
  <c r="H105" i="12" s="1"/>
  <c r="D33" i="12"/>
  <c r="F32" i="12"/>
  <c r="F105" i="12" s="1"/>
  <c r="R60" i="12" l="1"/>
  <c r="R57" i="12"/>
  <c r="P60" i="12"/>
  <c r="P57" i="12"/>
  <c r="N60" i="12"/>
  <c r="N57" i="12"/>
  <c r="J60" i="12"/>
  <c r="J57" i="12"/>
  <c r="H60" i="12"/>
  <c r="H57" i="12"/>
  <c r="F60" i="12"/>
  <c r="F57" i="12"/>
  <c r="R27" i="12"/>
  <c r="P27" i="12"/>
  <c r="N27" i="12"/>
  <c r="J27" i="12"/>
  <c r="D29" i="12"/>
  <c r="H27" i="12"/>
  <c r="F27" i="12"/>
  <c r="R95" i="12" l="1"/>
  <c r="R83" i="12"/>
  <c r="P95" i="12"/>
  <c r="P83" i="12"/>
  <c r="N95" i="12"/>
  <c r="N83" i="12"/>
  <c r="J95" i="12"/>
  <c r="J83" i="12"/>
  <c r="H95" i="12"/>
  <c r="H83" i="12"/>
  <c r="F95" i="12"/>
  <c r="F83" i="12"/>
  <c r="R48" i="12"/>
  <c r="P48" i="12"/>
  <c r="N48" i="12"/>
  <c r="J48" i="12"/>
  <c r="H48" i="12"/>
  <c r="F48" i="12"/>
  <c r="R103" i="12" l="1"/>
  <c r="P103" i="12"/>
  <c r="R106" i="12"/>
  <c r="R104" i="12"/>
  <c r="R102" i="12"/>
  <c r="R101" i="12"/>
  <c r="R100" i="12"/>
  <c r="R99" i="12"/>
  <c r="R98" i="12"/>
  <c r="R97" i="12"/>
  <c r="R96" i="12"/>
  <c r="R94" i="12"/>
  <c r="R93" i="12"/>
  <c r="P106" i="12"/>
  <c r="P104" i="12"/>
  <c r="P102" i="12"/>
  <c r="P101" i="12"/>
  <c r="P100" i="12"/>
  <c r="P99" i="12"/>
  <c r="P98" i="12"/>
  <c r="P97" i="12"/>
  <c r="P96" i="12"/>
  <c r="P94" i="12"/>
  <c r="P93" i="12"/>
  <c r="R91" i="12"/>
  <c r="R90" i="12"/>
  <c r="R88" i="12"/>
  <c r="R87" i="12"/>
  <c r="R86" i="12"/>
  <c r="R85" i="12"/>
  <c r="R84" i="12"/>
  <c r="R82" i="12"/>
  <c r="R81" i="12"/>
  <c r="R80" i="12"/>
  <c r="P91" i="12"/>
  <c r="P90" i="12"/>
  <c r="P88" i="12"/>
  <c r="P87" i="12"/>
  <c r="P86" i="12"/>
  <c r="P85" i="12"/>
  <c r="P84" i="12"/>
  <c r="P82" i="12"/>
  <c r="P81" i="12"/>
  <c r="P80" i="12"/>
  <c r="R74" i="12"/>
  <c r="R73" i="12"/>
  <c r="R72" i="12"/>
  <c r="R71" i="12"/>
  <c r="R70" i="12"/>
  <c r="P74" i="12"/>
  <c r="P73" i="12"/>
  <c r="P72" i="12"/>
  <c r="P71" i="12"/>
  <c r="P70" i="12"/>
  <c r="R67" i="12"/>
  <c r="R66" i="12"/>
  <c r="R65" i="12"/>
  <c r="R64" i="12"/>
  <c r="R63" i="12"/>
  <c r="R62" i="12"/>
  <c r="P67" i="12"/>
  <c r="P66" i="12"/>
  <c r="P65" i="12"/>
  <c r="P64" i="12"/>
  <c r="P63" i="12"/>
  <c r="P62" i="12"/>
  <c r="R58" i="12"/>
  <c r="R56" i="12"/>
  <c r="R55" i="12"/>
  <c r="R53" i="12"/>
  <c r="R52" i="12"/>
  <c r="R51" i="12"/>
  <c r="R50" i="12"/>
  <c r="R49" i="12"/>
  <c r="R47" i="12"/>
  <c r="P58" i="12"/>
  <c r="P55" i="12"/>
  <c r="P56" i="12"/>
  <c r="P53" i="12"/>
  <c r="P52" i="12"/>
  <c r="P51" i="12"/>
  <c r="P50" i="12"/>
  <c r="P49" i="12"/>
  <c r="P47" i="12"/>
  <c r="R45" i="12"/>
  <c r="R43" i="12"/>
  <c r="R41" i="12"/>
  <c r="R40" i="12"/>
  <c r="R44" i="12"/>
  <c r="R39" i="12"/>
  <c r="R38" i="12"/>
  <c r="R37" i="12"/>
  <c r="R36" i="12"/>
  <c r="R35" i="12"/>
  <c r="R34" i="12"/>
  <c r="P45" i="12"/>
  <c r="P43" i="12"/>
  <c r="P41" i="12"/>
  <c r="P40" i="12"/>
  <c r="P44" i="12"/>
  <c r="P39" i="12"/>
  <c r="P38" i="12"/>
  <c r="P37" i="12"/>
  <c r="P36" i="12"/>
  <c r="P35" i="12"/>
  <c r="P34" i="12"/>
  <c r="R31" i="12"/>
  <c r="R30" i="12"/>
  <c r="P31" i="12"/>
  <c r="P30" i="12"/>
  <c r="R28" i="12"/>
  <c r="R26" i="12"/>
  <c r="R25" i="12"/>
  <c r="R24" i="12"/>
  <c r="R23" i="12"/>
  <c r="P28" i="12"/>
  <c r="P26" i="12"/>
  <c r="P25" i="12"/>
  <c r="P24" i="12"/>
  <c r="R19" i="12"/>
  <c r="P23" i="12"/>
  <c r="P19" i="12"/>
  <c r="N35" i="12" l="1"/>
  <c r="J35" i="12"/>
  <c r="H35" i="12"/>
  <c r="F35" i="12"/>
  <c r="D75" i="12" l="1"/>
  <c r="N106" i="12" l="1"/>
  <c r="N104" i="12"/>
  <c r="N102" i="12"/>
  <c r="N101" i="12"/>
  <c r="N100" i="12"/>
  <c r="N99" i="12"/>
  <c r="N98" i="12"/>
  <c r="N97" i="12"/>
  <c r="N96" i="12"/>
  <c r="N94" i="12"/>
  <c r="N93" i="12"/>
  <c r="J106" i="12"/>
  <c r="J104" i="12"/>
  <c r="J103" i="12"/>
  <c r="J102" i="12"/>
  <c r="J101" i="12"/>
  <c r="J100" i="12"/>
  <c r="J99" i="12"/>
  <c r="J98" i="12"/>
  <c r="J97" i="12"/>
  <c r="J96" i="12"/>
  <c r="J94" i="12"/>
  <c r="J93" i="12"/>
  <c r="H106" i="12"/>
  <c r="H104" i="12"/>
  <c r="H103" i="12"/>
  <c r="H102" i="12"/>
  <c r="H101" i="12"/>
  <c r="H100" i="12"/>
  <c r="H99" i="12"/>
  <c r="H98" i="12"/>
  <c r="H97" i="12"/>
  <c r="H96" i="12"/>
  <c r="H94" i="12"/>
  <c r="H93" i="12"/>
  <c r="F106" i="12"/>
  <c r="F104" i="12"/>
  <c r="F103" i="12"/>
  <c r="F102" i="12"/>
  <c r="F101" i="12"/>
  <c r="F100" i="12"/>
  <c r="F99" i="12"/>
  <c r="F98" i="12"/>
  <c r="F97" i="12"/>
  <c r="F96" i="12"/>
  <c r="F94" i="12"/>
  <c r="F93" i="12"/>
  <c r="N91" i="12"/>
  <c r="N90" i="12"/>
  <c r="N88" i="12"/>
  <c r="N87" i="12"/>
  <c r="N86" i="12"/>
  <c r="N85" i="12"/>
  <c r="N84" i="12"/>
  <c r="N82" i="12"/>
  <c r="N81" i="12"/>
  <c r="N80" i="12"/>
  <c r="J91" i="12"/>
  <c r="J90" i="12"/>
  <c r="J88" i="12"/>
  <c r="J87" i="12"/>
  <c r="J86" i="12"/>
  <c r="J85" i="12"/>
  <c r="J84" i="12"/>
  <c r="J82" i="12"/>
  <c r="J81" i="12"/>
  <c r="J80" i="12"/>
  <c r="H91" i="12" l="1"/>
  <c r="H90" i="12"/>
  <c r="H88" i="12"/>
  <c r="H87" i="12"/>
  <c r="H86" i="12"/>
  <c r="H85" i="12"/>
  <c r="H84" i="12"/>
  <c r="H82" i="12"/>
  <c r="H81" i="12"/>
  <c r="H80" i="12"/>
  <c r="F91" i="12"/>
  <c r="F90" i="12"/>
  <c r="F88" i="12"/>
  <c r="F87" i="12"/>
  <c r="F86" i="12"/>
  <c r="F85" i="12"/>
  <c r="F84" i="12"/>
  <c r="F82" i="12"/>
  <c r="F81" i="12"/>
  <c r="F80" i="12"/>
  <c r="J78" i="12"/>
  <c r="J77" i="12"/>
  <c r="J76" i="12"/>
  <c r="H78" i="12"/>
  <c r="H77" i="12"/>
  <c r="H76" i="12"/>
  <c r="F78" i="12"/>
  <c r="F77" i="12"/>
  <c r="F76" i="12"/>
  <c r="N74" i="12"/>
  <c r="N73" i="12"/>
  <c r="N72" i="12"/>
  <c r="N71" i="12"/>
  <c r="N70" i="12"/>
  <c r="J74" i="12"/>
  <c r="J73" i="12"/>
  <c r="J72" i="12"/>
  <c r="J71" i="12"/>
  <c r="J70" i="12"/>
  <c r="H74" i="12"/>
  <c r="H73" i="12"/>
  <c r="H72" i="12"/>
  <c r="H71" i="12"/>
  <c r="H70" i="12"/>
  <c r="F74" i="12"/>
  <c r="F73" i="12"/>
  <c r="F72" i="12"/>
  <c r="F71" i="12"/>
  <c r="F70" i="12"/>
  <c r="N67" i="12" l="1"/>
  <c r="N66" i="12"/>
  <c r="N65" i="12"/>
  <c r="N64" i="12"/>
  <c r="N63" i="12"/>
  <c r="N62" i="12"/>
  <c r="J67" i="12"/>
  <c r="J66" i="12"/>
  <c r="J65" i="12"/>
  <c r="J64" i="12"/>
  <c r="J63" i="12"/>
  <c r="J62" i="12"/>
  <c r="H67" i="12"/>
  <c r="H66" i="12"/>
  <c r="H65" i="12"/>
  <c r="H64" i="12"/>
  <c r="H63" i="12"/>
  <c r="H62" i="12"/>
  <c r="F67" i="12"/>
  <c r="F66" i="12"/>
  <c r="F65" i="12"/>
  <c r="F64" i="12"/>
  <c r="F63" i="12"/>
  <c r="F62" i="12"/>
  <c r="N55" i="12"/>
  <c r="N56" i="12"/>
  <c r="N53" i="12"/>
  <c r="N52" i="12"/>
  <c r="N51" i="12"/>
  <c r="N50" i="12"/>
  <c r="N49" i="12"/>
  <c r="N47" i="12"/>
  <c r="J55" i="12"/>
  <c r="J58" i="12"/>
  <c r="J56" i="12"/>
  <c r="J53" i="12"/>
  <c r="J52" i="12"/>
  <c r="J51" i="12"/>
  <c r="J50" i="12"/>
  <c r="J49" i="12"/>
  <c r="J47" i="12"/>
  <c r="H55" i="12"/>
  <c r="H58" i="12"/>
  <c r="H56" i="12"/>
  <c r="H53" i="12"/>
  <c r="H52" i="12"/>
  <c r="H51" i="12"/>
  <c r="H50" i="12"/>
  <c r="H49" i="12"/>
  <c r="H47" i="12"/>
  <c r="F58" i="12"/>
  <c r="F56" i="12"/>
  <c r="F55" i="12"/>
  <c r="F53" i="12"/>
  <c r="F52" i="12"/>
  <c r="F51" i="12"/>
  <c r="F50" i="12"/>
  <c r="F49" i="12"/>
  <c r="F47" i="12"/>
  <c r="N43" i="12"/>
  <c r="N44" i="12"/>
  <c r="N39" i="12"/>
  <c r="N38" i="12"/>
  <c r="N37" i="12"/>
  <c r="N36" i="12"/>
  <c r="N34" i="12"/>
  <c r="J45" i="12"/>
  <c r="J43" i="12"/>
  <c r="J41" i="12"/>
  <c r="J40" i="12"/>
  <c r="J44" i="12"/>
  <c r="J39" i="12"/>
  <c r="J38" i="12"/>
  <c r="J37" i="12"/>
  <c r="J36" i="12"/>
  <c r="J34" i="12"/>
  <c r="H45" i="12" l="1"/>
  <c r="H44" i="12"/>
  <c r="H43" i="12"/>
  <c r="H41" i="12"/>
  <c r="H40" i="12"/>
  <c r="H39" i="12"/>
  <c r="H38" i="12"/>
  <c r="H37" i="12"/>
  <c r="H36" i="12"/>
  <c r="H34" i="12"/>
  <c r="F45" i="12" l="1"/>
  <c r="F44" i="12"/>
  <c r="F43" i="12"/>
  <c r="F41" i="12"/>
  <c r="F40" i="12"/>
  <c r="F39" i="12"/>
  <c r="F38" i="12"/>
  <c r="F37" i="12"/>
  <c r="F36" i="12"/>
  <c r="F34" i="12"/>
  <c r="N31" i="12"/>
  <c r="N30" i="12"/>
  <c r="J31" i="12"/>
  <c r="J30" i="12"/>
  <c r="H31" i="12"/>
  <c r="H30" i="12"/>
  <c r="F31" i="12"/>
  <c r="F30" i="12"/>
  <c r="N28" i="12" l="1"/>
  <c r="N26" i="12"/>
  <c r="N25" i="12"/>
  <c r="N24" i="12"/>
  <c r="N23" i="12"/>
  <c r="J28" i="12"/>
  <c r="J26" i="12"/>
  <c r="J25" i="12"/>
  <c r="J24" i="12"/>
  <c r="J23" i="12"/>
  <c r="H28" i="12"/>
  <c r="H26" i="12"/>
  <c r="H25" i="12"/>
  <c r="H24" i="12"/>
  <c r="H23" i="12"/>
  <c r="F28" i="12"/>
  <c r="F26" i="12"/>
  <c r="F25" i="12"/>
  <c r="F24" i="12"/>
  <c r="F23" i="12"/>
  <c r="N19" i="12"/>
  <c r="J19" i="12"/>
  <c r="F19" i="12" l="1"/>
  <c r="H19" i="12"/>
  <c r="D79" i="12" l="1"/>
  <c r="D10" i="4" s="1"/>
  <c r="C8" i="15" l="1"/>
  <c r="B30" i="15" l="1"/>
  <c r="B39" i="2" l="1"/>
  <c r="B36" i="2"/>
  <c r="E15" i="20"/>
  <c r="B27" i="2"/>
  <c r="E55" i="20"/>
  <c r="E45" i="20"/>
  <c r="E44" i="20"/>
  <c r="B32" i="2"/>
  <c r="E62" i="20"/>
  <c r="E43" i="20"/>
  <c r="C111" i="12"/>
  <c r="F10" i="12"/>
  <c r="C114" i="12"/>
  <c r="C112" i="12"/>
  <c r="D17" i="12"/>
  <c r="G32" i="19"/>
  <c r="G17" i="20"/>
  <c r="G23" i="19"/>
  <c r="F17" i="20"/>
  <c r="E16" i="20"/>
  <c r="E22" i="19"/>
  <c r="F23" i="19"/>
  <c r="C19" i="19"/>
  <c r="G18" i="19"/>
  <c r="E31" i="19"/>
  <c r="F18" i="19"/>
  <c r="F32" i="19"/>
  <c r="E17" i="19"/>
  <c r="B115" i="8"/>
  <c r="F72" i="8"/>
  <c r="L10" i="12"/>
  <c r="G68" i="20"/>
  <c r="G42" i="20"/>
  <c r="G34" i="20"/>
  <c r="F26" i="20"/>
  <c r="G60" i="20"/>
  <c r="F42" i="20"/>
  <c r="F68" i="20"/>
  <c r="F48" i="20"/>
  <c r="F60" i="20"/>
  <c r="F34" i="20"/>
  <c r="F54" i="20"/>
  <c r="G54" i="20"/>
  <c r="G26" i="20"/>
  <c r="G48" i="20"/>
  <c r="K122" i="8"/>
  <c r="K128" i="8"/>
  <c r="J128" i="8"/>
  <c r="J114" i="8"/>
  <c r="J108" i="8"/>
  <c r="J122" i="8"/>
  <c r="K114" i="8"/>
  <c r="K108" i="8"/>
  <c r="F27" i="19"/>
  <c r="G27" i="19"/>
  <c r="F26" i="19"/>
  <c r="E26" i="19"/>
  <c r="C23" i="8"/>
  <c r="F22" i="8"/>
  <c r="F20" i="8"/>
  <c r="F19" i="8"/>
  <c r="F18" i="8"/>
  <c r="C18" i="8"/>
  <c r="E65" i="20"/>
  <c r="I138" i="8"/>
  <c r="G138" i="8"/>
  <c r="H138" i="8"/>
  <c r="J138" i="8"/>
  <c r="C51" i="19"/>
  <c r="E39" i="19"/>
  <c r="F39" i="19"/>
  <c r="E30" i="19"/>
  <c r="E29" i="19"/>
  <c r="F44" i="19"/>
  <c r="E9" i="19"/>
  <c r="F7" i="19"/>
  <c r="E28" i="19"/>
  <c r="E44" i="19"/>
  <c r="G8" i="19"/>
  <c r="F35" i="19"/>
  <c r="F8" i="19"/>
  <c r="E35" i="19"/>
  <c r="E7" i="19"/>
  <c r="E67" i="20"/>
  <c r="F41" i="20"/>
  <c r="E25" i="20"/>
  <c r="C75" i="20"/>
  <c r="E69" i="20"/>
  <c r="E57" i="20"/>
  <c r="G8" i="20"/>
  <c r="E27" i="20"/>
  <c r="E7" i="20"/>
  <c r="F7" i="20"/>
  <c r="E49" i="20"/>
  <c r="B89" i="20"/>
  <c r="F47" i="20"/>
  <c r="B85" i="20"/>
  <c r="F67" i="20"/>
  <c r="F25" i="20"/>
  <c r="E59" i="20"/>
  <c r="E41" i="20"/>
  <c r="C12" i="20"/>
  <c r="E35" i="20"/>
  <c r="E61" i="20"/>
  <c r="F53" i="20"/>
  <c r="F8" i="20"/>
  <c r="E53" i="20"/>
  <c r="E9" i="20"/>
  <c r="G4" i="20"/>
  <c r="F33" i="20"/>
  <c r="C4" i="20"/>
  <c r="E33" i="20"/>
  <c r="E1" i="20"/>
  <c r="E47" i="20"/>
  <c r="C81" i="19"/>
  <c r="G75" i="19"/>
  <c r="C80" i="19"/>
  <c r="F75" i="19"/>
  <c r="E55" i="19"/>
  <c r="E74" i="19"/>
  <c r="H4" i="19"/>
  <c r="C74" i="19"/>
  <c r="E76" i="19"/>
  <c r="E1" i="19"/>
  <c r="F56" i="19"/>
  <c r="E56" i="19"/>
  <c r="C79" i="19"/>
  <c r="F74" i="19"/>
  <c r="C55" i="19"/>
  <c r="C78" i="19"/>
  <c r="C77" i="19"/>
  <c r="C4" i="19"/>
  <c r="C76" i="19"/>
  <c r="H75" i="19"/>
  <c r="B148" i="8"/>
  <c r="B130" i="8"/>
  <c r="F101" i="8"/>
  <c r="B147" i="8"/>
  <c r="F129" i="8"/>
  <c r="B101" i="8"/>
  <c r="I135" i="8"/>
  <c r="B129" i="8"/>
  <c r="B12" i="8"/>
  <c r="F127" i="8"/>
  <c r="B49" i="8"/>
  <c r="B127" i="8"/>
  <c r="J127" i="8"/>
  <c r="C14" i="8"/>
  <c r="F131" i="8"/>
  <c r="I127" i="8"/>
  <c r="B131" i="8"/>
  <c r="F102" i="8"/>
  <c r="I136" i="8"/>
  <c r="F130" i="8"/>
  <c r="B102" i="8"/>
  <c r="F141" i="12"/>
  <c r="C46" i="8"/>
  <c r="F53" i="8"/>
  <c r="C53" i="8"/>
  <c r="F46" i="8"/>
  <c r="F146" i="12"/>
  <c r="E145" i="12"/>
  <c r="I72" i="8"/>
  <c r="I74" i="8"/>
  <c r="K87" i="8"/>
  <c r="B111" i="8"/>
  <c r="F97" i="8"/>
  <c r="I97" i="8"/>
  <c r="B85" i="8"/>
  <c r="I68" i="8"/>
  <c r="I80" i="8"/>
  <c r="B68" i="8"/>
  <c r="J46" i="8"/>
  <c r="B112" i="8"/>
  <c r="B71" i="8"/>
  <c r="J69" i="8"/>
  <c r="F111" i="8"/>
  <c r="K81" i="8"/>
  <c r="F110" i="8"/>
  <c r="F74" i="8"/>
  <c r="F84" i="8"/>
  <c r="F107" i="8"/>
  <c r="F13" i="8"/>
  <c r="J87" i="8"/>
  <c r="B110" i="8"/>
  <c r="C7" i="8"/>
  <c r="B113" i="8"/>
  <c r="F85" i="8"/>
  <c r="J81" i="8"/>
  <c r="F100" i="8"/>
  <c r="B74" i="8"/>
  <c r="I71" i="8"/>
  <c r="J53" i="8"/>
  <c r="B100" i="8"/>
  <c r="B72" i="8"/>
  <c r="B103" i="8"/>
  <c r="B107" i="8"/>
  <c r="I86" i="8"/>
  <c r="F112" i="8"/>
  <c r="F113" i="8"/>
  <c r="B97" i="8"/>
  <c r="F71" i="8"/>
  <c r="K69" i="8"/>
  <c r="F25" i="8"/>
  <c r="K98" i="8"/>
  <c r="J98" i="8"/>
  <c r="J97" i="8"/>
  <c r="J7" i="8"/>
  <c r="F24" i="8"/>
  <c r="C16" i="8"/>
  <c r="F52" i="8"/>
  <c r="F50" i="8"/>
  <c r="K47" i="8"/>
  <c r="J54" i="8"/>
  <c r="J47" i="8"/>
  <c r="K54" i="8"/>
  <c r="D142" i="12"/>
  <c r="C18" i="11"/>
  <c r="C9" i="8"/>
  <c r="F9" i="8"/>
  <c r="C28" i="8"/>
  <c r="C42" i="8"/>
  <c r="F83" i="8"/>
  <c r="F89" i="8"/>
  <c r="F90" i="8"/>
  <c r="F49" i="8"/>
  <c r="F28" i="8"/>
  <c r="F26" i="8"/>
  <c r="F16" i="8"/>
  <c r="F14" i="8"/>
  <c r="H10" i="12"/>
  <c r="B24" i="11"/>
  <c r="H8" i="11"/>
  <c r="F8" i="11"/>
  <c r="B23" i="11"/>
  <c r="C154" i="12"/>
  <c r="E139" i="12"/>
  <c r="C139" i="12"/>
  <c r="B124" i="12"/>
  <c r="C118" i="12"/>
  <c r="C41" i="8"/>
  <c r="B20" i="2"/>
  <c r="C1" i="2"/>
  <c r="F1" i="17"/>
  <c r="F1" i="11"/>
  <c r="O1" i="12"/>
  <c r="E1" i="15"/>
  <c r="G1" i="8"/>
  <c r="L1" i="4"/>
  <c r="B93" i="8"/>
  <c r="J80" i="8"/>
  <c r="C7" i="11"/>
  <c r="C10" i="11"/>
  <c r="C12" i="11"/>
  <c r="C49" i="17"/>
  <c r="C10" i="4"/>
  <c r="E30" i="4"/>
  <c r="C40" i="4"/>
  <c r="B9" i="4"/>
  <c r="AA63" i="2"/>
  <c r="B8" i="2"/>
  <c r="B9" i="2"/>
  <c r="B117" i="8"/>
  <c r="C40" i="8"/>
  <c r="C151" i="12"/>
  <c r="E118" i="12"/>
  <c r="C13" i="11"/>
  <c r="B26" i="2"/>
  <c r="G135" i="8"/>
  <c r="G136" i="8"/>
  <c r="F123" i="8"/>
  <c r="F124" i="8"/>
  <c r="C39" i="4"/>
  <c r="F68" i="8"/>
  <c r="J107" i="8"/>
  <c r="J86" i="8"/>
  <c r="J121" i="8"/>
  <c r="J113" i="8"/>
  <c r="C46" i="17"/>
  <c r="B33" i="17"/>
  <c r="D32" i="17"/>
  <c r="C27" i="17"/>
  <c r="F20" i="17"/>
  <c r="D19" i="17"/>
  <c r="H11" i="17"/>
  <c r="D10" i="17"/>
  <c r="C4" i="17"/>
  <c r="F31" i="17"/>
  <c r="E20" i="17"/>
  <c r="B11" i="17"/>
  <c r="G4" i="17"/>
  <c r="D31" i="17"/>
  <c r="D20" i="17"/>
  <c r="C18" i="17"/>
  <c r="H10" i="17"/>
  <c r="E32" i="17"/>
  <c r="G20" i="17"/>
  <c r="D15" i="17"/>
  <c r="D8" i="17"/>
  <c r="C51" i="17"/>
  <c r="C45" i="17"/>
  <c r="G32" i="17"/>
  <c r="F21" i="17"/>
  <c r="C19" i="17"/>
  <c r="H8" i="17"/>
  <c r="C50" i="17"/>
  <c r="F32" i="17"/>
  <c r="D21" i="17"/>
  <c r="F8" i="17"/>
  <c r="C40" i="17"/>
  <c r="C31" i="17"/>
  <c r="F19" i="17"/>
  <c r="F10" i="17"/>
  <c r="K8" i="8"/>
  <c r="J8" i="8"/>
  <c r="B72" i="2"/>
  <c r="B71" i="2"/>
  <c r="B70" i="2"/>
  <c r="AA81" i="2"/>
  <c r="B77" i="2"/>
  <c r="B73" i="2"/>
  <c r="AA79" i="2"/>
  <c r="B86" i="2"/>
  <c r="D69" i="2"/>
  <c r="B76" i="2"/>
  <c r="C69" i="2"/>
  <c r="AA78" i="2"/>
  <c r="B87" i="2"/>
  <c r="B81" i="2"/>
  <c r="B79" i="2"/>
  <c r="B75" i="2"/>
  <c r="B69" i="2"/>
  <c r="B84" i="2"/>
  <c r="B88" i="2"/>
  <c r="B80" i="2"/>
  <c r="B78" i="2"/>
  <c r="B74" i="2"/>
  <c r="B68" i="2"/>
  <c r="B85" i="2"/>
  <c r="C38" i="4"/>
  <c r="F32" i="4"/>
  <c r="E31" i="4"/>
  <c r="D33" i="4"/>
  <c r="D30" i="4"/>
  <c r="C30" i="4"/>
  <c r="B25" i="2"/>
  <c r="I121" i="8"/>
  <c r="J68" i="8"/>
  <c r="F88" i="8"/>
  <c r="F12" i="8"/>
  <c r="H4" i="15"/>
  <c r="I4" i="11"/>
  <c r="C32" i="8"/>
  <c r="B30" i="8"/>
  <c r="F32" i="8"/>
  <c r="C93" i="12"/>
  <c r="C80" i="12"/>
  <c r="D9" i="4"/>
  <c r="C47" i="12"/>
  <c r="AA62" i="2"/>
  <c r="D42" i="2"/>
  <c r="B15" i="12"/>
  <c r="C7" i="12"/>
  <c r="D129" i="12"/>
  <c r="D132" i="12"/>
  <c r="D127" i="12"/>
  <c r="D131" i="12"/>
  <c r="D126" i="12"/>
  <c r="D128" i="12"/>
  <c r="D130" i="12"/>
  <c r="D125" i="12"/>
  <c r="D28" i="2"/>
  <c r="D29" i="2"/>
  <c r="C61" i="8"/>
  <c r="B59" i="2"/>
  <c r="B48" i="2"/>
  <c r="D34" i="2"/>
  <c r="F7" i="8"/>
  <c r="B139" i="8"/>
  <c r="F123" i="12"/>
  <c r="F142" i="8"/>
  <c r="F92" i="8"/>
  <c r="B18" i="8"/>
  <c r="D124" i="12"/>
  <c r="D109" i="12"/>
  <c r="I107" i="8"/>
  <c r="I113" i="8"/>
  <c r="F145" i="8"/>
  <c r="C110" i="12"/>
  <c r="F122" i="12"/>
  <c r="F12" i="12"/>
  <c r="C59" i="2"/>
  <c r="C21" i="11"/>
  <c r="B22" i="2"/>
  <c r="B29" i="2"/>
  <c r="B28" i="2"/>
  <c r="B7" i="11"/>
  <c r="C60" i="8"/>
  <c r="D30" i="2"/>
  <c r="B31" i="11"/>
  <c r="C29" i="8"/>
  <c r="B57" i="2"/>
  <c r="B56" i="2"/>
  <c r="B24" i="2"/>
  <c r="B44" i="2"/>
  <c r="B23" i="2"/>
  <c r="C12" i="8"/>
  <c r="F140" i="8"/>
  <c r="B141" i="8"/>
  <c r="B53" i="2"/>
  <c r="C7" i="4"/>
  <c r="G8" i="11"/>
  <c r="B41" i="2"/>
  <c r="B14" i="11"/>
  <c r="B43" i="2"/>
  <c r="U4" i="12"/>
  <c r="B143" i="8"/>
  <c r="B46" i="2"/>
  <c r="B14" i="2"/>
  <c r="I8" i="11"/>
  <c r="B45" i="2"/>
  <c r="B13" i="2"/>
  <c r="D8" i="12"/>
  <c r="B37" i="2"/>
  <c r="B15" i="2"/>
  <c r="B22" i="11"/>
  <c r="I88" i="8"/>
  <c r="B49" i="2"/>
  <c r="B146" i="8"/>
  <c r="C63" i="2"/>
  <c r="I116" i="8"/>
  <c r="B38" i="2"/>
  <c r="B55" i="2"/>
  <c r="C8" i="12"/>
  <c r="C39" i="8"/>
  <c r="B42" i="2"/>
  <c r="B4" i="11"/>
  <c r="C34" i="12"/>
  <c r="B40" i="2"/>
  <c r="D7" i="2"/>
  <c r="B32" i="11"/>
  <c r="C60" i="2"/>
  <c r="B34" i="2"/>
  <c r="B11" i="2"/>
  <c r="B58" i="2"/>
  <c r="I115" i="8"/>
  <c r="B10" i="2"/>
  <c r="B50" i="2"/>
  <c r="C64" i="2"/>
  <c r="C62" i="12"/>
  <c r="B75" i="8"/>
  <c r="B61" i="2"/>
  <c r="C65" i="2"/>
  <c r="D35" i="2"/>
  <c r="D15" i="12"/>
  <c r="B65" i="2"/>
  <c r="B35" i="2"/>
  <c r="D8" i="13"/>
  <c r="C58" i="2"/>
  <c r="B7" i="2"/>
  <c r="D37" i="2"/>
  <c r="C30" i="12"/>
  <c r="B21" i="2"/>
  <c r="D7" i="4"/>
  <c r="B140" i="8"/>
  <c r="C109" i="12"/>
  <c r="B16" i="2"/>
  <c r="B60" i="2"/>
  <c r="B64" i="2"/>
  <c r="B10" i="11"/>
  <c r="B63" i="2"/>
  <c r="C36" i="8"/>
  <c r="C4" i="8"/>
  <c r="C4" i="12"/>
  <c r="C56" i="2"/>
  <c r="D10" i="13"/>
  <c r="B47" i="2"/>
  <c r="C62" i="8"/>
  <c r="F135" i="8"/>
  <c r="D4" i="2"/>
  <c r="C70" i="12"/>
  <c r="C63" i="8"/>
  <c r="B30" i="2"/>
  <c r="K4" i="8"/>
  <c r="C24" i="8"/>
  <c r="B51" i="2"/>
  <c r="B18" i="2"/>
  <c r="B19" i="2"/>
  <c r="F143" i="8"/>
  <c r="B144" i="8"/>
  <c r="B12" i="2"/>
  <c r="C23" i="12"/>
  <c r="D135" i="8"/>
  <c r="B62" i="2"/>
  <c r="C34" i="8"/>
  <c r="B30" i="11"/>
  <c r="C61" i="2"/>
  <c r="B31" i="2"/>
  <c r="C4" i="4"/>
  <c r="B52" i="2"/>
  <c r="C57" i="2"/>
  <c r="B17" i="2"/>
  <c r="C35" i="8"/>
  <c r="B33" i="2"/>
  <c r="C17" i="8"/>
  <c r="C135" i="8"/>
  <c r="F139" i="8"/>
  <c r="F141" i="8"/>
  <c r="F146" i="8"/>
  <c r="C15" i="12"/>
  <c r="F34" i="8"/>
  <c r="F33" i="8"/>
  <c r="F36" i="8"/>
  <c r="F35" i="8"/>
  <c r="C19" i="12"/>
  <c r="C33" i="8"/>
  <c r="B29" i="11"/>
  <c r="F144" i="8"/>
  <c r="C76" i="12"/>
  <c r="C6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19" authorId="0" shapeId="0" xr:uid="{00000000-0006-0000-0400-000001000000}">
      <text>
        <r>
          <rPr>
            <b/>
            <sz val="9"/>
            <color indexed="81"/>
            <rFont val="Tahoma"/>
            <family val="2"/>
            <charset val="238"/>
          </rPr>
          <t>Autor:</t>
        </r>
        <r>
          <rPr>
            <sz val="9"/>
            <color indexed="81"/>
            <rFont val="Tahoma"/>
            <family val="2"/>
            <charset val="238"/>
          </rPr>
          <t xml:space="preserve">
Kliknij "+" z lewej strony aby rozwinąć pakiet</t>
        </r>
      </text>
    </comment>
    <comment ref="C23" authorId="0" shapeId="0" xr:uid="{00000000-0006-0000-0400-000002000000}">
      <text>
        <r>
          <rPr>
            <b/>
            <sz val="9"/>
            <color indexed="81"/>
            <rFont val="Tahoma"/>
            <family val="2"/>
            <charset val="238"/>
          </rPr>
          <t>Autor:</t>
        </r>
        <r>
          <rPr>
            <sz val="9"/>
            <color indexed="81"/>
            <rFont val="Tahoma"/>
            <family val="2"/>
            <charset val="238"/>
          </rPr>
          <t xml:space="preserve">
Kliknij "+" z lewej strony aby rozwinąć pakiet</t>
        </r>
      </text>
    </comment>
    <comment ref="C30" authorId="0" shapeId="0" xr:uid="{00000000-0006-0000-0400-000003000000}">
      <text>
        <r>
          <rPr>
            <b/>
            <sz val="9"/>
            <color indexed="81"/>
            <rFont val="Tahoma"/>
            <family val="2"/>
            <charset val="238"/>
          </rPr>
          <t>Autor:</t>
        </r>
        <r>
          <rPr>
            <sz val="9"/>
            <color indexed="81"/>
            <rFont val="Tahoma"/>
            <family val="2"/>
            <charset val="238"/>
          </rPr>
          <t xml:space="preserve">
Kliknij "+" z lewej strony aby rozwinąć pakiet</t>
        </r>
      </text>
    </comment>
    <comment ref="C34" authorId="0" shapeId="0" xr:uid="{00000000-0006-0000-0400-000004000000}">
      <text>
        <r>
          <rPr>
            <b/>
            <sz val="9"/>
            <color indexed="81"/>
            <rFont val="Tahoma"/>
            <family val="2"/>
            <charset val="238"/>
          </rPr>
          <t>Autor:</t>
        </r>
        <r>
          <rPr>
            <sz val="9"/>
            <color indexed="81"/>
            <rFont val="Tahoma"/>
            <family val="2"/>
            <charset val="238"/>
          </rPr>
          <t xml:space="preserve">
Kliknij "+" z lewej strony aby rozwinąć pakiet</t>
        </r>
      </text>
    </comment>
    <comment ref="C47" authorId="0" shapeId="0" xr:uid="{00000000-0006-0000-0400-000005000000}">
      <text>
        <r>
          <rPr>
            <b/>
            <sz val="9"/>
            <color indexed="81"/>
            <rFont val="Tahoma"/>
            <family val="2"/>
            <charset val="238"/>
          </rPr>
          <t>Autor:</t>
        </r>
        <r>
          <rPr>
            <sz val="9"/>
            <color indexed="81"/>
            <rFont val="Tahoma"/>
            <family val="2"/>
            <charset val="238"/>
          </rPr>
          <t xml:space="preserve">
Kliknij "+" z lewej strony aby rozwinąć pakiet</t>
        </r>
      </text>
    </comment>
    <comment ref="C62" authorId="0" shapeId="0" xr:uid="{00000000-0006-0000-0400-000006000000}">
      <text>
        <r>
          <rPr>
            <b/>
            <sz val="9"/>
            <color indexed="81"/>
            <rFont val="Tahoma"/>
            <family val="2"/>
            <charset val="238"/>
          </rPr>
          <t>Autor:</t>
        </r>
        <r>
          <rPr>
            <sz val="9"/>
            <color indexed="81"/>
            <rFont val="Tahoma"/>
            <family val="2"/>
            <charset val="238"/>
          </rPr>
          <t xml:space="preserve">
Kliknij "+" z lewej strony aby rozwinąć pakiet</t>
        </r>
      </text>
    </comment>
    <comment ref="C70" authorId="0" shapeId="0" xr:uid="{00000000-0006-0000-0400-000007000000}">
      <text>
        <r>
          <rPr>
            <b/>
            <sz val="9"/>
            <color indexed="81"/>
            <rFont val="Tahoma"/>
            <family val="2"/>
            <charset val="238"/>
          </rPr>
          <t>Autor:</t>
        </r>
        <r>
          <rPr>
            <sz val="9"/>
            <color indexed="81"/>
            <rFont val="Tahoma"/>
            <family val="2"/>
            <charset val="238"/>
          </rPr>
          <t xml:space="preserve">
Kliknij "+" z lewej strony aby rozwinąć pakiet</t>
        </r>
      </text>
    </comment>
    <comment ref="C76" authorId="0" shapeId="0" xr:uid="{00000000-0006-0000-0400-000008000000}">
      <text>
        <r>
          <rPr>
            <b/>
            <sz val="9"/>
            <color indexed="81"/>
            <rFont val="Tahoma"/>
            <family val="2"/>
            <charset val="238"/>
          </rPr>
          <t>Autor:</t>
        </r>
        <r>
          <rPr>
            <sz val="9"/>
            <color indexed="81"/>
            <rFont val="Tahoma"/>
            <family val="2"/>
            <charset val="238"/>
          </rPr>
          <t xml:space="preserve">
Kliknij "+" z lewej strony aby rozwinąć pakiet</t>
        </r>
      </text>
    </comment>
    <comment ref="C80" authorId="0" shapeId="0" xr:uid="{00000000-0006-0000-0400-000009000000}">
      <text>
        <r>
          <rPr>
            <b/>
            <sz val="9"/>
            <color indexed="81"/>
            <rFont val="Tahoma"/>
            <family val="2"/>
            <charset val="238"/>
          </rPr>
          <t>Autor:</t>
        </r>
        <r>
          <rPr>
            <sz val="9"/>
            <color indexed="81"/>
            <rFont val="Tahoma"/>
            <family val="2"/>
            <charset val="238"/>
          </rPr>
          <t xml:space="preserve">
Kliknij "+" z lewej strony aby rozwinąć pakiet</t>
        </r>
      </text>
    </comment>
    <comment ref="C93" authorId="0" shapeId="0" xr:uid="{00000000-0006-0000-0400-00000A000000}">
      <text>
        <r>
          <rPr>
            <b/>
            <sz val="9"/>
            <color indexed="81"/>
            <rFont val="Tahoma"/>
            <family val="2"/>
            <charset val="238"/>
          </rPr>
          <t>Autor:</t>
        </r>
        <r>
          <rPr>
            <sz val="9"/>
            <color indexed="81"/>
            <rFont val="Tahoma"/>
            <family val="2"/>
            <charset val="238"/>
          </rPr>
          <t xml:space="preserve">
Kliknij "+" z lewej strony aby rozwinąć pakiet</t>
        </r>
      </text>
    </comment>
  </commentList>
</comments>
</file>

<file path=xl/sharedStrings.xml><?xml version="1.0" encoding="utf-8"?>
<sst xmlns="http://schemas.openxmlformats.org/spreadsheetml/2006/main" count="1236" uniqueCount="424">
  <si>
    <t xml:space="preserve">            Wybór języka - Language</t>
  </si>
  <si>
    <t>PROSZĘ WYBRAĆ JĘZYK</t>
  </si>
  <si>
    <t>PLEASE CHOOSE LANGUAGE</t>
  </si>
  <si>
    <t>Polski</t>
  </si>
  <si>
    <t>English</t>
  </si>
  <si>
    <t>WP Wiadomości, WP Opinie</t>
  </si>
  <si>
    <t>Technologia</t>
  </si>
  <si>
    <t>WP Kobieta, Kafeteria</t>
  </si>
  <si>
    <t>abcZdrowie, Parenting</t>
  </si>
  <si>
    <t xml:space="preserve">Plotka </t>
  </si>
  <si>
    <t>WP Turystyka, WP Pogoda</t>
  </si>
  <si>
    <t>FORMAT</t>
  </si>
  <si>
    <t>WP SG</t>
  </si>
  <si>
    <t>WP SportoweFakty</t>
  </si>
  <si>
    <t xml:space="preserve">
</t>
  </si>
  <si>
    <t>DESKTOP</t>
  </si>
  <si>
    <t>WP Autokult</t>
  </si>
  <si>
    <t>WP Gadżetomania</t>
  </si>
  <si>
    <t>WP Komórkomania</t>
  </si>
  <si>
    <t>WP Fotoblogia</t>
  </si>
  <si>
    <t>WP abcZdrowie</t>
  </si>
  <si>
    <t>WP Parenting</t>
  </si>
  <si>
    <t>WP Wiadomości</t>
  </si>
  <si>
    <t>WP Moto</t>
  </si>
  <si>
    <t>WP Finanse</t>
  </si>
  <si>
    <t>WP Film</t>
  </si>
  <si>
    <t>WP Turystyka</t>
  </si>
  <si>
    <t>WP Kobieta</t>
  </si>
  <si>
    <t>WP Książki</t>
  </si>
  <si>
    <t>WP Kuchnia</t>
  </si>
  <si>
    <t>WP Facet</t>
  </si>
  <si>
    <t>Sport</t>
  </si>
  <si>
    <t>Pudelek</t>
  </si>
  <si>
    <t xml:space="preserve">WP </t>
  </si>
  <si>
    <t xml:space="preserve">O2 </t>
  </si>
  <si>
    <t>-</t>
  </si>
  <si>
    <t>WP + O2 [CPM]</t>
  </si>
  <si>
    <t>PREMIUM HP</t>
  </si>
  <si>
    <t>FLAT FEE</t>
  </si>
  <si>
    <t>WP Gwiazdy</t>
  </si>
  <si>
    <t>Mazowieckie</t>
  </si>
  <si>
    <t>Pomorskie, Wielkopolskie, Śląskie</t>
  </si>
  <si>
    <t>Dolnośląskie, Małopolskie</t>
  </si>
  <si>
    <t>Kujawsko-Pomorskie, Lubelskie, Podkarpackie, Zachodniopomorskie, Łódzkie</t>
  </si>
  <si>
    <t>Lubuskie, Opolskie, Podlaskie, Warmińsko-mazurskie, Świętokrzyskie</t>
  </si>
  <si>
    <t>15"</t>
  </si>
  <si>
    <t>30"</t>
  </si>
  <si>
    <t>+50%</t>
  </si>
  <si>
    <t>+30%</t>
  </si>
  <si>
    <t>+10%</t>
  </si>
  <si>
    <t>+15%</t>
  </si>
  <si>
    <t>+100%</t>
  </si>
  <si>
    <t>+20%</t>
  </si>
  <si>
    <t>+1%</t>
  </si>
  <si>
    <t>+11.5%</t>
  </si>
  <si>
    <t>+15 PLN</t>
  </si>
  <si>
    <t>10 000 UU</t>
  </si>
  <si>
    <t>2 x 10 000 UU</t>
  </si>
  <si>
    <t>3 x 10 000 UU</t>
  </si>
  <si>
    <t>4 x 10 000 UU</t>
  </si>
  <si>
    <t>12 500 UU</t>
  </si>
  <si>
    <t>2 x 12 500 UU</t>
  </si>
  <si>
    <t>3 x 12 500 UU</t>
  </si>
  <si>
    <t>4 x 12 500 UU</t>
  </si>
  <si>
    <t>WP Opinie</t>
  </si>
  <si>
    <t>VCPM RC</t>
  </si>
  <si>
    <t>ARTYKUŁY SPONSOROWANE</t>
  </si>
  <si>
    <t>GWARANCJA UU¹</t>
  </si>
  <si>
    <t>2 000 UU</t>
  </si>
  <si>
    <t>3 000 UU</t>
  </si>
  <si>
    <t>4 000 UU</t>
  </si>
  <si>
    <t>5 000 UU</t>
  </si>
  <si>
    <t>bez gwarancji</t>
  </si>
  <si>
    <t>2 000 PLN</t>
  </si>
  <si>
    <t>nd</t>
  </si>
  <si>
    <t>4 000 PLN</t>
  </si>
  <si>
    <t>6 000 PLN</t>
  </si>
  <si>
    <t>8 000 PLN</t>
  </si>
  <si>
    <t>10 000 PLN</t>
  </si>
  <si>
    <t>ARTYKUŁ NATYWNY</t>
  </si>
  <si>
    <t>WPM ZASIĘG INSTREAM</t>
  </si>
  <si>
    <t>Flat Fee 7 dni / net net</t>
  </si>
  <si>
    <t>25 000 PLN</t>
  </si>
  <si>
    <t>MIEJSCE EMISJI</t>
  </si>
  <si>
    <t>PANEL PREMIUM</t>
  </si>
  <si>
    <t>REKLAMA FLAT FEE - mobile Poczta WP i o2</t>
  </si>
  <si>
    <t>Poczta WP</t>
  </si>
  <si>
    <t>Poczta o2</t>
  </si>
  <si>
    <t>LOGIN BOKS</t>
  </si>
  <si>
    <t>WP Pilot</t>
  </si>
  <si>
    <t>Portal Money.pl</t>
  </si>
  <si>
    <t>WP Pogoda</t>
  </si>
  <si>
    <t>Wawalove</t>
  </si>
  <si>
    <t>WP Program TV</t>
  </si>
  <si>
    <t>WP Teleshow</t>
  </si>
  <si>
    <t>WP Wideo</t>
  </si>
  <si>
    <t>o2 serwisy</t>
  </si>
  <si>
    <t>OpenFM</t>
  </si>
  <si>
    <t>Kafeteria.pl</t>
  </si>
  <si>
    <t>WP Tech</t>
  </si>
  <si>
    <t>WP Fitness</t>
  </si>
  <si>
    <t>WP Gry</t>
  </si>
  <si>
    <t>Medycyna24</t>
  </si>
  <si>
    <t>Nerwica.com</t>
  </si>
  <si>
    <t>• Artykuł sponsorowany bez gwarancji jest promowany zajawką na SG serwisu. W serwisach PAKO, wpis spada w streamie treści. W pozostałych serwisach zajawka artykułu jest promowana przez 24h.</t>
  </si>
  <si>
    <t>Pakiet Money ROS (nowa wersja serwisu)</t>
  </si>
  <si>
    <t>Bottom Box</t>
  </si>
  <si>
    <t>Logout Box</t>
  </si>
  <si>
    <t>Wiadomości</t>
  </si>
  <si>
    <t>NATIVE AD w module tematycznym</t>
  </si>
  <si>
    <t>Biznes</t>
  </si>
  <si>
    <t>Gwiazdy</t>
  </si>
  <si>
    <t>Moto</t>
  </si>
  <si>
    <t>Styl Życia</t>
  </si>
  <si>
    <t>cap 1/uu / godzinę / dzień</t>
  </si>
  <si>
    <t xml:space="preserve"> </t>
  </si>
  <si>
    <t>mobilna Strona Główna WP.PL, moduły tematyczne: Sport, Biznes, Gwiazdy, Moto&amp;Tech, Styl Życia</t>
  </si>
  <si>
    <t>+75%</t>
  </si>
  <si>
    <t>STAT. WEW.</t>
  </si>
  <si>
    <t>STAT. ZEW.</t>
  </si>
  <si>
    <t>CENA RC</t>
  </si>
  <si>
    <t>o2.pl</t>
  </si>
  <si>
    <t>mobilna o2.pl (Strona Główna + ROS)</t>
  </si>
  <si>
    <t>ROS OPEN.FM (DESKTOP)</t>
  </si>
  <si>
    <t>ROS OPEN.FM (MOBILE)</t>
  </si>
  <si>
    <t>Double Billboard/Halfpage 3/uu / dzień</t>
  </si>
  <si>
    <t>reklama przy playerze wideo</t>
  </si>
  <si>
    <t>6"</t>
  </si>
  <si>
    <t>PAKIET APLIKACJI</t>
  </si>
  <si>
    <t>OpenFM, WP Pilot</t>
  </si>
  <si>
    <t>EMISJA ODSŁONOWA CPM</t>
  </si>
  <si>
    <t>Serwis OpenFM (aplikacja oraz WWW)</t>
  </si>
  <si>
    <t>Surround Ad (Mega Double Billboard + Halfpage 3/uu / dzień)</t>
  </si>
  <si>
    <t>IN VIDEO BANNER</t>
  </si>
  <si>
    <t>BRANDING PLAYERA</t>
  </si>
  <si>
    <t>do 60"</t>
  </si>
  <si>
    <t>max 30"</t>
  </si>
  <si>
    <t>WP Dom</t>
  </si>
  <si>
    <t>Targetowanie reklamy video DataPower: wycena indywidualna</t>
  </si>
  <si>
    <t>Targetowanie reklamy video po kategoriach demograficznych i geograficznych zgodnie z dopłatami w zakładce "Dopłaty - Extra charges"</t>
  </si>
  <si>
    <t>DP Biznes, Dp Finanse, DP Ubezpieczenia</t>
  </si>
  <si>
    <t>DP Sport</t>
  </si>
  <si>
    <t>DP Motoryzacja</t>
  </si>
  <si>
    <t>DP Rozrywka, DP Zainteresowania</t>
  </si>
  <si>
    <t>DP Zakupy, DP Kuchnia, DP Lifestyle, DP Sportowcy, DP Turysyka</t>
  </si>
  <si>
    <t>DP Technologia, DP Gracze</t>
  </si>
  <si>
    <t>DP Zdrowie, DP Rodzina, DP Uroda,  DP Poszukujący lekarza</t>
  </si>
  <si>
    <t>WP Data Power Geotargetowanie, województwa, miasta, konkretna lokalizacja</t>
  </si>
  <si>
    <t>Persony użytkowników- składa się z kilku wybranych cech (segmentów). Aby użytkwonik trafił do profilu, musi spełnić wszystkie warunki - uzyskujemy pełny obraz użytkownika - obecnie 10 gotowych Person. Podsumowanie kampaniij z raportem Audience Discovery (wersja podstawowa i rozszerzona).</t>
  </si>
  <si>
    <t>Unikalne grupy dedykowane. Segmenty tworzymy pod konkretnego klienta lub konkretną kampanię.</t>
  </si>
  <si>
    <t>WP SG, o2 SG - po wybranych standardowych segmentach WP DataPower</t>
  </si>
  <si>
    <t>WPM Zasięg (bez stron głównych o2 i WP oraz serwisów pocztowych) - po wybranych standardowych segmentach WP DataPower</t>
  </si>
  <si>
    <t>Panel Premium FF</t>
  </si>
  <si>
    <t>Pudelek.pl (Strona Główna + ROS)</t>
  </si>
  <si>
    <t>Flat Fee / dzień</t>
  </si>
  <si>
    <t>Panel Premium</t>
  </si>
  <si>
    <t>SG + ROS</t>
  </si>
  <si>
    <t>Pudelek.pl SG + ROS</t>
  </si>
  <si>
    <r>
      <rPr>
        <vertAlign val="superscript"/>
        <sz val="8"/>
        <color theme="1"/>
        <rFont val="Tahoma"/>
        <family val="2"/>
        <charset val="238"/>
      </rPr>
      <t>5</t>
    </r>
    <r>
      <rPr>
        <sz val="8"/>
        <color theme="1"/>
        <rFont val="Tahoma"/>
        <family val="2"/>
        <charset val="238"/>
      </rPr>
      <t xml:space="preserve"> Cena za spot interaktywny targetowany dynamicznie</t>
    </r>
  </si>
  <si>
    <t>Flat Fee / tydzień</t>
  </si>
  <si>
    <t>Native Ad (x20) FF</t>
  </si>
  <si>
    <t>Native Ad (x21) FF</t>
  </si>
  <si>
    <t>WP SG (desktop)</t>
  </si>
  <si>
    <t>MidBox (slot x062)</t>
  </si>
  <si>
    <t>O2 Box (slot x34)</t>
  </si>
  <si>
    <t>Halfpage (slot x37)</t>
  </si>
  <si>
    <r>
      <rPr>
        <vertAlign val="superscript"/>
        <sz val="8"/>
        <color theme="1"/>
        <rFont val="Tahoma"/>
        <family val="2"/>
        <charset val="238"/>
      </rPr>
      <t>6</t>
    </r>
    <r>
      <rPr>
        <sz val="8"/>
        <color theme="1"/>
        <rFont val="Tahoma"/>
        <family val="2"/>
        <charset val="238"/>
      </rPr>
      <t xml:space="preserve"> 3x100: 100% widzialne, 100% obejrzane do końca, 100% niepominięte</t>
    </r>
  </si>
  <si>
    <r>
      <rPr>
        <vertAlign val="superscript"/>
        <sz val="8"/>
        <color theme="1"/>
        <rFont val="Tahoma"/>
        <family val="2"/>
        <charset val="238"/>
      </rPr>
      <t>7</t>
    </r>
    <r>
      <rPr>
        <sz val="8"/>
        <color theme="1"/>
        <rFont val="Tahoma"/>
        <family val="2"/>
        <charset val="238"/>
      </rPr>
      <t xml:space="preserve"> CPV: rozliczenie za 100% odtworzone do końca</t>
    </r>
  </si>
  <si>
    <r>
      <rPr>
        <vertAlign val="superscript"/>
        <sz val="8"/>
        <color theme="1"/>
        <rFont val="Tahoma"/>
        <family val="2"/>
        <charset val="238"/>
      </rPr>
      <t>8</t>
    </r>
    <r>
      <rPr>
        <sz val="8"/>
        <color theme="1"/>
        <rFont val="Tahoma"/>
        <family val="2"/>
        <charset val="238"/>
      </rPr>
      <t xml:space="preserve"> vCPM: rozliczenie za 100% widzialne</t>
    </r>
  </si>
  <si>
    <r>
      <t>3x100 InStream Video Ad (net net)</t>
    </r>
    <r>
      <rPr>
        <b/>
        <vertAlign val="superscript"/>
        <sz val="8"/>
        <color theme="0"/>
        <rFont val="Tahoma"/>
        <family val="2"/>
        <charset val="238"/>
      </rPr>
      <t>4, 6</t>
    </r>
  </si>
  <si>
    <r>
      <t>Instream Video Ad vCPM (net net)</t>
    </r>
    <r>
      <rPr>
        <b/>
        <vertAlign val="superscript"/>
        <sz val="8"/>
        <color theme="0"/>
        <rFont val="Tahoma"/>
        <family val="2"/>
        <charset val="238"/>
      </rPr>
      <t>8</t>
    </r>
  </si>
  <si>
    <t>Gigaboard 1/uu + Double Billboard/Wideboard 2/uu</t>
  </si>
  <si>
    <t>Double Billboard/Wideboard 3/uu</t>
  </si>
  <si>
    <t>Screening 1/uu + Double Billbard / Wideoboard 2/uu</t>
  </si>
  <si>
    <t>do 35"</t>
  </si>
  <si>
    <t>+5%</t>
  </si>
  <si>
    <t>do 40"</t>
  </si>
  <si>
    <t>do 45"</t>
  </si>
  <si>
    <t>do 50"</t>
  </si>
  <si>
    <t>do 55"</t>
  </si>
  <si>
    <t>+40%</t>
  </si>
  <si>
    <t>WP Wroclaw</t>
  </si>
  <si>
    <t>WP Moto, Autokult, Autocentrum</t>
  </si>
  <si>
    <t>Autocentrum</t>
  </si>
  <si>
    <t>WP Finanse, Money</t>
  </si>
  <si>
    <t>Strona główna Poczty po zalogowaniu</t>
  </si>
  <si>
    <t>O2 (cross-device)</t>
  </si>
  <si>
    <t>Premium MOTO (cross-device)</t>
  </si>
  <si>
    <t>Premium BIZ/MOTO (cross-device)</t>
  </si>
  <si>
    <t>SG WP moduł MOTO, Autocentrum, Autokult, WP Moto</t>
  </si>
  <si>
    <t>Wylogowanie z Poczty WP i Poczty o2</t>
  </si>
  <si>
    <t>BANNER SKALOWALNY, RECTANGLE</t>
  </si>
  <si>
    <t>³ Odsłony bez cappingu.</t>
  </si>
  <si>
    <t>² Content Box - emisja na SG WP. Możliwość emisji mega formatu po uwzględnieniu dopłaty zgodnie z cennikiem dopłat. Na stronie wyogowania z Poczty możliwość emsiji również formatów 970x200, 970x300, 970x600.</t>
  </si>
  <si>
    <t>² istnieje możliwość emisji Bannera z tapetą na pierwszej odsłonie wyłącznie na SG o2</t>
  </si>
  <si>
    <t>polygamia.pl</t>
  </si>
  <si>
    <t>Praca.money.pl</t>
  </si>
  <si>
    <t>https://reklama.wp.pl/strefa-klienta</t>
  </si>
  <si>
    <r>
      <t>33 PLN (43 PLN</t>
    </r>
    <r>
      <rPr>
        <vertAlign val="superscript"/>
        <sz val="8"/>
        <color theme="4" tint="-0.249977111117893"/>
        <rFont val="Tahoma"/>
        <family val="2"/>
        <charset val="238"/>
      </rPr>
      <t>5</t>
    </r>
    <r>
      <rPr>
        <sz val="8"/>
        <color theme="4" tint="-0.249977111117893"/>
        <rFont val="Tahoma"/>
        <family val="2"/>
        <charset val="238"/>
      </rPr>
      <t>)</t>
    </r>
  </si>
  <si>
    <r>
      <t>43 PLN (53 PLN</t>
    </r>
    <r>
      <rPr>
        <vertAlign val="superscript"/>
        <sz val="8"/>
        <color theme="4" tint="-0.249977111117893"/>
        <rFont val="Tahoma"/>
        <family val="2"/>
        <charset val="238"/>
      </rPr>
      <t>5</t>
    </r>
    <r>
      <rPr>
        <sz val="8"/>
        <color theme="4" tint="-0.249977111117893"/>
        <rFont val="Tahoma"/>
        <family val="2"/>
        <charset val="238"/>
      </rPr>
      <t>)</t>
    </r>
  </si>
  <si>
    <r>
      <t>30 PLN (40 PLN</t>
    </r>
    <r>
      <rPr>
        <vertAlign val="superscript"/>
        <sz val="8"/>
        <color theme="4" tint="-0.249977111117893"/>
        <rFont val="Tahoma"/>
        <family val="2"/>
        <charset val="238"/>
      </rPr>
      <t>5</t>
    </r>
    <r>
      <rPr>
        <sz val="8"/>
        <color theme="4" tint="-0.249977111117893"/>
        <rFont val="Tahoma"/>
        <family val="2"/>
        <charset val="238"/>
      </rPr>
      <t>)</t>
    </r>
  </si>
  <si>
    <r>
      <t>35 PLN (45 PLN</t>
    </r>
    <r>
      <rPr>
        <vertAlign val="superscript"/>
        <sz val="8"/>
        <color theme="4" tint="-0.249977111117893"/>
        <rFont val="Tahoma"/>
        <family val="2"/>
        <charset val="238"/>
      </rPr>
      <t>5</t>
    </r>
    <r>
      <rPr>
        <sz val="8"/>
        <color theme="4" tint="-0.249977111117893"/>
        <rFont val="Tahoma"/>
        <family val="2"/>
        <charset val="238"/>
      </rPr>
      <t>)</t>
    </r>
  </si>
  <si>
    <t>Outstream Video Ad CPM¹ (net net)</t>
  </si>
  <si>
    <t>Dopłata za emisję na wybranych pakietch +30%</t>
  </si>
  <si>
    <t>Flat Fee RC / tydzień</t>
  </si>
  <si>
    <t>Flat Fee RC / dzień</t>
  </si>
  <si>
    <r>
      <t>Instream Video Ad CPV (net net)</t>
    </r>
    <r>
      <rPr>
        <b/>
        <vertAlign val="superscript"/>
        <sz val="8"/>
        <color theme="0"/>
        <rFont val="Tahoma"/>
        <family val="2"/>
        <charset val="238"/>
      </rPr>
      <t>7</t>
    </r>
  </si>
  <si>
    <t>Instream Video Ad CPM (net net)</t>
  </si>
  <si>
    <t>Cenny w powyższych  modelach sprzedażowych dotyczą rozliczenia za 1000 rozpoczętych odtworzeń/sukcesów (w zależności od wybranego modelu)</t>
  </si>
  <si>
    <t>Dopłata za zwiększenie długości spotu w modelu vCPM i CPM powyżej standardowej długości</t>
  </si>
  <si>
    <r>
      <t>0,04 PLN (0,05 PLN</t>
    </r>
    <r>
      <rPr>
        <vertAlign val="superscript"/>
        <sz val="8"/>
        <color theme="4" tint="-0.249977111117893"/>
        <rFont val="Tahoma"/>
        <family val="2"/>
        <charset val="238"/>
      </rPr>
      <t>5</t>
    </r>
    <r>
      <rPr>
        <sz val="8"/>
        <color theme="4" tint="-0.249977111117893"/>
        <rFont val="Tahoma"/>
        <family val="2"/>
        <charset val="238"/>
      </rPr>
      <t>)</t>
    </r>
  </si>
  <si>
    <r>
      <t>0,05 PLN (0,06 PLN</t>
    </r>
    <r>
      <rPr>
        <vertAlign val="superscript"/>
        <sz val="8"/>
        <color theme="4" tint="-0.249977111117893"/>
        <rFont val="Tahoma"/>
        <family val="2"/>
        <charset val="238"/>
      </rPr>
      <t>5</t>
    </r>
    <r>
      <rPr>
        <sz val="8"/>
        <color theme="4" tint="-0.249977111117893"/>
        <rFont val="Tahoma"/>
        <family val="2"/>
        <charset val="238"/>
      </rPr>
      <t>)</t>
    </r>
  </si>
  <si>
    <r>
      <t>0,03 PLN (0,04 PLN</t>
    </r>
    <r>
      <rPr>
        <vertAlign val="superscript"/>
        <sz val="8"/>
        <color theme="4" tint="-0.249977111117893"/>
        <rFont val="Tahoma"/>
        <family val="2"/>
        <charset val="238"/>
      </rPr>
      <t>5</t>
    </r>
    <r>
      <rPr>
        <sz val="8"/>
        <color theme="4" tint="-0.249977111117893"/>
        <rFont val="Tahoma"/>
        <family val="2"/>
        <charset val="238"/>
      </rPr>
      <t>)</t>
    </r>
  </si>
  <si>
    <t>PLOTKA NATYWNA</t>
  </si>
  <si>
    <t>ZASIĘG</t>
  </si>
  <si>
    <t>15 000 UU</t>
  </si>
  <si>
    <t>Ceny "3x100" oraz "CPV" dotyczą pojedyńczych odtworzeń spełniających warunki danego modelu rozliczeniowego</t>
  </si>
  <si>
    <t>Banner okazjonalny</t>
  </si>
  <si>
    <t>3/uu / dzień</t>
  </si>
  <si>
    <t>Desktop</t>
  </si>
  <si>
    <t>Mobile</t>
  </si>
  <si>
    <t>Top Banner (slot x09)</t>
  </si>
  <si>
    <t>Banner</t>
  </si>
  <si>
    <t>Message Box</t>
  </si>
  <si>
    <t>WERSJA SERWISU</t>
  </si>
  <si>
    <t>Mega Double Billboard</t>
  </si>
  <si>
    <t>I dniówka, cap 3/uu / dzień</t>
  </si>
  <si>
    <t>II dniówka, FF od 4. odsłony</t>
  </si>
  <si>
    <t>MOBILE - DNIÓWKI</t>
  </si>
  <si>
    <t>Screening 1/uu + DBL/Wideboard 2/uu</t>
  </si>
  <si>
    <t>Panel Premium FF³</t>
  </si>
  <si>
    <t>Panel Premium XL FF³</t>
  </si>
  <si>
    <t>Panel Premium Full Page FF³</t>
  </si>
  <si>
    <t>Instream Audio Ad OPEN.FM CPM (net net)</t>
  </si>
  <si>
    <t>Instream Audio Bumper Ad CPM (net net)</t>
  </si>
  <si>
    <t>max 6"</t>
  </si>
  <si>
    <t>WP Tech, dobreprogramy.pl, Komórkomania, Gadżetomania, Fotoblogia, Polygamia</t>
  </si>
  <si>
    <t>MIX FORMATÓW</t>
  </si>
  <si>
    <t>750x200, 970x200, 160x600, 300x600</t>
  </si>
  <si>
    <t>Poczta WP+o2</t>
  </si>
  <si>
    <r>
      <t>Poczta WPM Logout (desktop)</t>
    </r>
    <r>
      <rPr>
        <b/>
        <vertAlign val="superscript"/>
        <sz val="8"/>
        <color theme="0"/>
        <rFont val="Tahoma"/>
        <family val="2"/>
        <charset val="238"/>
      </rPr>
      <t>4</t>
    </r>
  </si>
  <si>
    <t>FLOATING HALFPAGE 300x600, CONTENT BOX 970x200², WIDEBOARD 970x200</t>
  </si>
  <si>
    <t>STARTAD / PAUSEAD</t>
  </si>
  <si>
    <t>Bottom Box (slot x53)</t>
  </si>
  <si>
    <t>Commercial Break XL²</t>
  </si>
  <si>
    <r>
      <rPr>
        <vertAlign val="superscript"/>
        <sz val="8"/>
        <color theme="1"/>
        <rFont val="Tahoma"/>
        <family val="2"/>
        <charset val="238"/>
      </rPr>
      <t>4</t>
    </r>
    <r>
      <rPr>
        <sz val="8"/>
        <color theme="1"/>
        <rFont val="Tahoma"/>
        <family val="2"/>
      </rPr>
      <t xml:space="preserve"> Rozliczenie po statystykach wewnętrznych WPM, 100% widoczności playera przez minimum 2 sekundy. W przypadku mierzenia kodami zewnętrznymi dopłata do ceny bazowej +30%.</t>
    </r>
  </si>
  <si>
    <t>Commercial Break⁵ (slot x02)</t>
  </si>
  <si>
    <t>¹ możliwość emisji formatu z efektem parallaxy: +15% do ceny bazowej</t>
  </si>
  <si>
    <t>² karuzela, scroller, slider, cube w rectangle'u: +30%; karuzela XL +50% do ceny bazowej</t>
  </si>
  <si>
    <t>³ na WP SG możliwość emisji formy reklamowej Rectangle lub Halfpage w tej samej cenie</t>
  </si>
  <si>
    <r>
      <t>Halfpage</t>
    </r>
    <r>
      <rPr>
        <sz val="8"/>
        <color theme="1"/>
        <rFont val="Tahoma"/>
        <family val="2"/>
        <charset val="238"/>
      </rPr>
      <t>¹</t>
    </r>
    <r>
      <rPr>
        <vertAlign val="superscript"/>
        <sz val="8"/>
        <color theme="1"/>
        <rFont val="Tahoma"/>
        <family val="2"/>
        <charset val="238"/>
      </rPr>
      <t>,</t>
    </r>
    <r>
      <rPr>
        <sz val="8"/>
        <color theme="1"/>
        <rFont val="Tahoma"/>
        <family val="2"/>
        <charset val="238"/>
      </rPr>
      <t>²</t>
    </r>
    <r>
      <rPr>
        <vertAlign val="superscript"/>
        <sz val="8"/>
        <color theme="1"/>
        <rFont val="Tahoma"/>
        <family val="2"/>
        <charset val="238"/>
      </rPr>
      <t>,</t>
    </r>
    <r>
      <rPr>
        <sz val="8"/>
        <color theme="1"/>
        <rFont val="Tahoma"/>
        <family val="2"/>
        <charset val="238"/>
      </rPr>
      <t>³ (slot x03)</t>
    </r>
  </si>
  <si>
    <r>
      <t>Halfpage¹</t>
    </r>
    <r>
      <rPr>
        <vertAlign val="superscript"/>
        <sz val="8"/>
        <color theme="1"/>
        <rFont val="Tahoma"/>
        <family val="2"/>
        <charset val="238"/>
      </rPr>
      <t>,</t>
    </r>
    <r>
      <rPr>
        <sz val="8"/>
        <color theme="1"/>
        <rFont val="Tahoma"/>
        <family val="2"/>
      </rPr>
      <t>²</t>
    </r>
    <r>
      <rPr>
        <vertAlign val="superscript"/>
        <sz val="8"/>
        <color theme="1"/>
        <rFont val="Tahoma"/>
        <family val="2"/>
        <charset val="238"/>
      </rPr>
      <t>,</t>
    </r>
    <r>
      <rPr>
        <sz val="8"/>
        <color theme="1"/>
        <rFont val="Tahoma"/>
        <family val="2"/>
      </rPr>
      <t>³ (slot x03)</t>
    </r>
  </si>
  <si>
    <r>
      <t>Panel Premium</t>
    </r>
    <r>
      <rPr>
        <sz val="8"/>
        <color theme="1"/>
        <rFont val="Tahoma"/>
        <family val="2"/>
        <charset val="238"/>
      </rPr>
      <t>⁴</t>
    </r>
  </si>
  <si>
    <r>
      <t>Panel Premium</t>
    </r>
    <r>
      <rPr>
        <sz val="8"/>
        <color theme="1"/>
        <rFont val="Tahoma"/>
        <family val="2"/>
        <charset val="238"/>
      </rPr>
      <t>¹</t>
    </r>
  </si>
  <si>
    <r>
      <t>Panel Premium XL</t>
    </r>
    <r>
      <rPr>
        <sz val="8"/>
        <color theme="1"/>
        <rFont val="Tahoma"/>
        <family val="2"/>
        <charset val="238"/>
      </rPr>
      <t>¹</t>
    </r>
  </si>
  <si>
    <t>SKYSCRAPER (lewa i prawa kolumna)</t>
  </si>
  <si>
    <t>DOUBLE BILLBOARD / WIDEBOARD</t>
  </si>
  <si>
    <t>Native Ads</t>
  </si>
  <si>
    <t>Double Billboard / Wideboard 3/uu</t>
  </si>
  <si>
    <t>Double Billboard / Wideboard</t>
  </si>
  <si>
    <t>Screening 1/uu + DBB/Wideboard 2/uu</t>
  </si>
  <si>
    <t>MODEL EMISJI / CZAS</t>
  </si>
  <si>
    <t>Screening 1/uu + DBB/Wideboard FF</t>
  </si>
  <si>
    <t>MONEY.PL: STRONA GŁÓWNA (DESKTOP)</t>
  </si>
  <si>
    <t>MONEY.PL: STRONA GŁÓWNA + ROS (DESKTOP)</t>
  </si>
  <si>
    <t>MONEY.PL: STRONA GŁÓWNA + ROS (MOBILE)</t>
  </si>
  <si>
    <t>MONEY.PL: STRONA GŁÓWNA (MOBILE)</t>
  </si>
  <si>
    <t>Pudelek (cross-device)</t>
  </si>
  <si>
    <t>PAKIETY MOBILNE</t>
  </si>
  <si>
    <t>⁵ możliwość emisji formatu z efektem parallaxy: +15% do ceny</t>
  </si>
  <si>
    <t>⁶ karuzela XL: +50%</t>
  </si>
  <si>
    <t>POCZTA</t>
  </si>
  <si>
    <t>Poczta WP i o2</t>
  </si>
  <si>
    <t>WP SG moduł BIZNES i MOTO/TECH Money.pl, WP Finanse, Autocentrum, Autokult, WP Moto</t>
  </si>
  <si>
    <t>10 mln. PV</t>
  </si>
  <si>
    <t>20 mln. PV</t>
  </si>
  <si>
    <t>CONTENT BOX rotacyjny (WP SG), RECTANGLE, BANNER SKALOWALNY</t>
  </si>
  <si>
    <t>1/uu / godzinę / dzień</t>
  </si>
  <si>
    <t>3/uu / dzień / tydzień</t>
  </si>
  <si>
    <t xml:space="preserve">¹ Serwisy Premium: WP Facet, WP Teleshow, WP Film, WP Opinie, WP Turystyka, WP Gwiazdy, WP Gry, WP Wiadomości, WP Kuchnia, WP Finanse, WP Dom, WP Moto, WP Kobieta, WP </t>
  </si>
  <si>
    <t>WP Gwiazdy, Pudelek</t>
  </si>
  <si>
    <t>MESSAGE BOX (slot x03)</t>
  </si>
  <si>
    <t>BANNER W INTERFEJSIE (slot x01)</t>
  </si>
  <si>
    <t>WP STRONA GŁÓWNA</t>
  </si>
  <si>
    <t>WP KOBIETA (Strona Główna + ROS)</t>
  </si>
  <si>
    <t>WP WIADOMOŚCI (Strona Główna + ROS)</t>
  </si>
  <si>
    <t>WP SPORTOWEFAKTY (Strona Główna + ROS)</t>
  </si>
  <si>
    <t>O2 (Strona Główna + ROS)</t>
  </si>
  <si>
    <t>MONEY.PL (bez subdomen)</t>
  </si>
  <si>
    <t>WP PAKIET SERWISÓW PREMIUM</t>
  </si>
  <si>
    <t>DESKTOP - DNIÓWKI</t>
  </si>
  <si>
    <t>PUDELEK STRONA GŁÓWNA + ROS</t>
  </si>
  <si>
    <t>O2 STRONA GŁÓWNA</t>
  </si>
  <si>
    <t>¹ Scroll Panel Premium: +30% do ceny bazowej</t>
  </si>
  <si>
    <t>Rectangle (x05)</t>
  </si>
  <si>
    <t>Cena RC</t>
  </si>
  <si>
    <t>PUDELEK (STRONA GŁÓWNA + ROS)</t>
  </si>
  <si>
    <t>FF / dzień</t>
  </si>
  <si>
    <t>Rectangle (slot x05)</t>
  </si>
  <si>
    <t>Halfpage (slot x03)</t>
  </si>
  <si>
    <t xml:space="preserve">Panel Premium </t>
  </si>
  <si>
    <t>Halfpage (slot  x03)</t>
  </si>
  <si>
    <t>Nagłówek sponsorowany standard</t>
  </si>
  <si>
    <t>Nagłówek sponsorowany standard + tapeta 1/uu na dzień</t>
  </si>
  <si>
    <t>6/uu / dzień</t>
  </si>
  <si>
    <t>Gigaboard 1/uu + DBB/Wideboard FF</t>
  </si>
  <si>
    <t>Welcome Screen XL⁴ 1/uu + DBB/Wideboard FF</t>
  </si>
  <si>
    <t>MidBox (x62)</t>
  </si>
  <si>
    <t>Dniówka Cztery Plus  (od 4. odsłony)</t>
  </si>
  <si>
    <t>WP Box w module Wiadomości FF</t>
  </si>
  <si>
    <t>WP Box w module Sport FF</t>
  </si>
  <si>
    <t>WP Box w module Biznes FF</t>
  </si>
  <si>
    <t>Retail Ad</t>
  </si>
  <si>
    <t xml:space="preserve">Content Box nad modułem Jak żyć (x15) FF </t>
  </si>
  <si>
    <t>Content Box nad modułem Sport (x16) FF</t>
  </si>
  <si>
    <t>Content Box w module Sport (x16) FF</t>
  </si>
  <si>
    <t>Panel Premium XL FF</t>
  </si>
  <si>
    <t>Panel Premium XL</t>
  </si>
  <si>
    <t>Content Box w module Jak żyć (x15) FF</t>
  </si>
  <si>
    <t>Native Ad Moto&amp;Tech&amp;Gry (x26)</t>
  </si>
  <si>
    <t>Native Ad Moto&amp;Tech&amp;Gry (x23)</t>
  </si>
  <si>
    <t>Native Ad Styl Życia FF (x26)</t>
  </si>
  <si>
    <t>Native Ad Styl Życia FF (x25)</t>
  </si>
  <si>
    <t>Money Box (x34)</t>
  </si>
  <si>
    <r>
      <t>Content Box (x15)</t>
    </r>
    <r>
      <rPr>
        <vertAlign val="superscript"/>
        <sz val="8"/>
        <color indexed="8"/>
        <rFont val="Tahoma"/>
        <family val="2"/>
      </rPr>
      <t>¹</t>
    </r>
  </si>
  <si>
    <t>Screening 1/uu/dzień + DBL/Wideboard FF</t>
  </si>
  <si>
    <t>Rectangle (x11)</t>
  </si>
  <si>
    <t>Glonews FF / MidBox FF (uwaga: emisja z tego samego slotu: x62)</t>
  </si>
  <si>
    <t>Glonews FF (x08)</t>
  </si>
  <si>
    <t>MidBox FF (x62)</t>
  </si>
  <si>
    <t>³ Halfpage wyświetlany tylko na wersji szerokiej serwisu</t>
  </si>
  <si>
    <t>Skyscraper / Halfpage³ (prawa kolumna)</t>
  </si>
  <si>
    <t>Flat Fee</t>
  </si>
  <si>
    <t>CENA NET NET</t>
  </si>
  <si>
    <t>Halfpage w WP live³</t>
  </si>
  <si>
    <t>³ emisja tylko na szerokiej wersji serwisu</t>
  </si>
  <si>
    <t>5 000 PLN net net</t>
  </si>
  <si>
    <t>3 000 PLN net net</t>
  </si>
  <si>
    <t>4 000 PLN net net</t>
  </si>
  <si>
    <t>2 500 PLN net net</t>
  </si>
  <si>
    <t>1 500 PLN net net</t>
  </si>
  <si>
    <t>24 000 PLN net net</t>
  </si>
  <si>
    <t>15 000 PLN net net</t>
  </si>
  <si>
    <t>9 000 PLN net net</t>
  </si>
  <si>
    <t>WP SG + PUDELEK SG</t>
  </si>
  <si>
    <t>WP SG (Native Ad Gwiazdy)
Pudelek SG (Native Ad Hotnews 21)</t>
  </si>
  <si>
    <t>Native Ad Gwiazdy /  Native Ad Hotnews (slot x21)</t>
  </si>
  <si>
    <t>18 000 PLN net net</t>
  </si>
  <si>
    <t>DOUBLE BILLBOARD</t>
  </si>
  <si>
    <t>TRIPLE BILLBOARD</t>
  </si>
  <si>
    <t>FLOATING HALFPAGE</t>
  </si>
  <si>
    <t>WIDEBOARD</t>
  </si>
  <si>
    <r>
      <t>SCREENING 200</t>
    </r>
    <r>
      <rPr>
        <b/>
        <vertAlign val="superscript"/>
        <sz val="8"/>
        <color theme="0"/>
        <rFont val="Tahoma"/>
        <family val="2"/>
        <charset val="238"/>
      </rPr>
      <t>2, 3</t>
    </r>
  </si>
  <si>
    <t>dobreprogramy.pl³</t>
  </si>
  <si>
    <t>⁴ Emisja z wyłączeniem górnego slotu x01.</t>
  </si>
  <si>
    <r>
      <t>COMMERCIAL BREAK</t>
    </r>
    <r>
      <rPr>
        <b/>
        <vertAlign val="superscript"/>
        <sz val="8"/>
        <color theme="0" tint="-0.34998626667073579"/>
        <rFont val="Tahoma"/>
        <family val="2"/>
        <charset val="238"/>
      </rPr>
      <t>2, 5</t>
    </r>
  </si>
  <si>
    <r>
      <rPr>
        <vertAlign val="superscript"/>
        <sz val="8"/>
        <color theme="1"/>
        <rFont val="Tahoma"/>
        <family val="2"/>
        <charset val="238"/>
      </rPr>
      <t>6</t>
    </r>
    <r>
      <rPr>
        <sz val="8"/>
        <color theme="1"/>
        <rFont val="Tahoma"/>
        <family val="2"/>
        <charset val="238"/>
      </rPr>
      <t xml:space="preserve"> emisja możliwa wyłącznie na serwisach: WP Autokult, WP Facet, WP Film, WP Gwiazdy, WP Kobieta, WP Moto, Money ROS, WP Opinie, Pudelek, WP Sportowefakty, WP Turystyka, WP Wiadomości</t>
    </r>
  </si>
  <si>
    <r>
      <t>MEGA SCREENING</t>
    </r>
    <r>
      <rPr>
        <b/>
        <vertAlign val="superscript"/>
        <sz val="8"/>
        <color theme="0"/>
        <rFont val="Tahoma"/>
        <family val="2"/>
        <charset val="238"/>
      </rPr>
      <t>6</t>
    </r>
  </si>
  <si>
    <r>
      <t>HALFPAGE</t>
    </r>
    <r>
      <rPr>
        <b/>
        <vertAlign val="superscript"/>
        <sz val="8"/>
        <color theme="0"/>
        <rFont val="Tahoma"/>
        <family val="2"/>
        <charset val="238"/>
      </rPr>
      <t>5, 6</t>
    </r>
  </si>
  <si>
    <t>Emisja wyłącznie w formie dniówki Flat Fee capp 1/uu na godzinę. Wycena w zakładce Multiscreen.</t>
  </si>
  <si>
    <t>COMMERCIAL BREAK</t>
  </si>
  <si>
    <t>COMMERCIAL BREAK MOBILE</t>
  </si>
  <si>
    <t>30 000 PLN net net</t>
  </si>
  <si>
    <t>WPM ZASIĘG PREMIUM</t>
  </si>
  <si>
    <t>WPM Zasięg (emisja na ROS, w tym na serwisach SG WP, SG O2, Poczta WP/O2)</t>
  </si>
  <si>
    <t>RECTANGLE, SKYSCRAPER</t>
  </si>
  <si>
    <t>Glonews (x08)</t>
  </si>
  <si>
    <r>
      <t xml:space="preserve">COMMERCIAL BREAK </t>
    </r>
    <r>
      <rPr>
        <b/>
        <vertAlign val="superscript"/>
        <sz val="8"/>
        <color theme="0"/>
        <rFont val="Tahoma"/>
        <family val="2"/>
        <charset val="238"/>
      </rPr>
      <t>2, 5</t>
    </r>
  </si>
  <si>
    <t>Warunek sukcesu</t>
  </si>
  <si>
    <t>VA</t>
  </si>
  <si>
    <t>VTR</t>
  </si>
  <si>
    <t>50%/2sek</t>
  </si>
  <si>
    <t>-10% ceny 3x100</t>
  </si>
  <si>
    <t>-10% ceny vCPM</t>
  </si>
  <si>
    <t>60%/2sek</t>
  </si>
  <si>
    <t>70%/2sek</t>
  </si>
  <si>
    <t>80%/2sek</t>
  </si>
  <si>
    <t>-5% ceny 3x100</t>
  </si>
  <si>
    <t>-5% ceny vCPM</t>
  </si>
  <si>
    <t>90%/2sek</t>
  </si>
  <si>
    <t>100%/2sek</t>
  </si>
  <si>
    <t>cena 3x100</t>
  </si>
  <si>
    <t>cena vCPM</t>
  </si>
  <si>
    <t>100%/3sek</t>
  </si>
  <si>
    <t>+10% do 3x100</t>
  </si>
  <si>
    <t>+10% do vCPM</t>
  </si>
  <si>
    <t>100%/4sek</t>
  </si>
  <si>
    <t>+20% do 3x100</t>
  </si>
  <si>
    <t>+20% do vCPM</t>
  </si>
  <si>
    <t>100%/5sek</t>
  </si>
  <si>
    <t>+30% do 3x100</t>
  </si>
  <si>
    <t>+30% do vCPM</t>
  </si>
  <si>
    <t>Cena</t>
  </si>
  <si>
    <t>* możliwość wyboru wartości parametrów widzialności reklamy (Viewability) na podstawie którego rozliczana jest emisja wideo
** dla modelu sprzedażowego opartego o parametr widzialności gdzie VA&gt;100%/2sek, automatycznie opcjonlanie  dodajemy button CTA</t>
  </si>
  <si>
    <t>WP CUSTOM VIDEO</t>
  </si>
  <si>
    <t xml:space="preserve">WP Custom Video </t>
  </si>
  <si>
    <t>⁴ możliwa emisja FullPage Mobile Panel Premium: +25% do ceny bazowej (Format dostepny na Stronie Głównej WP oraz serwisach: WP Pogoda, WP Facet, WP Teleshow, WP Film, WP Opinie, WP Turystyka, WP Gwiazdy, WP Gry, WP Wiadomości, WP Kuchnia, WP Finanse, WP Dom, WP Moto, WP Kobieta, WP Tech, WP Książki, WP Wawalove)</t>
  </si>
  <si>
    <t>Miejsce emisji</t>
  </si>
  <si>
    <t>Cena za widzialną odsłonę</t>
  </si>
  <si>
    <r>
      <t>Mechanizmy dodatkowe</t>
    </r>
    <r>
      <rPr>
        <b/>
        <vertAlign val="superscript"/>
        <sz val="8"/>
        <color theme="0"/>
        <rFont val="Tahoma"/>
        <family val="2"/>
        <charset val="238"/>
      </rPr>
      <t>1</t>
    </r>
  </si>
  <si>
    <t>Nick z czatu</t>
  </si>
  <si>
    <t>Losowy nick użytkownika jest pobierany z czatu i wyświetlany w przestrzeni emitowanej w streamie kreacji.</t>
  </si>
  <si>
    <t>Licznik</t>
  </si>
  <si>
    <t>Licznik czasu odmierzający moment wystąpenia danego zdarzenia.</t>
  </si>
  <si>
    <t>Pogoda</t>
  </si>
  <si>
    <t>Dobór typu emitowanej kreacji do aktualnej pogody.</t>
  </si>
  <si>
    <t>Wyświetlanie kodów rabatowych</t>
  </si>
  <si>
    <t>Możliwość wyświetlania kodów rabatowych na dany produkt. Pojawienie się kodu rabatowego lub wysokość rabatu jest regulowana przez ilość widzów.</t>
  </si>
  <si>
    <t>Rozpoznawanie mowy</t>
  </si>
  <si>
    <t>Grafika na streamie pojawia się, gdy streamer wypowie odpowiednią komendę.</t>
  </si>
  <si>
    <t>Aktywacja emisji przy wykorzystaniu czatu</t>
  </si>
  <si>
    <t>Grafika na streamie pojawi się gdy widz wpisze na czacie odpowiednią frazę lub słowo.</t>
  </si>
  <si>
    <t>Ankieta</t>
  </si>
  <si>
    <t>Na streamie wyświetlana jest grafika z ankietą zawierającą odpowidzi a,b,c,d. Odpowiedzi są zbierane i po czasie wyświetlane na kolejnej grafice.</t>
  </si>
  <si>
    <t>Zewnętrzne źródło sloganu</t>
  </si>
  <si>
    <t>Mechanizm pobiera slogan reklamowy z zewnętrznego źródła i umieszcza go w grafice emitowanej na streamie.</t>
  </si>
  <si>
    <t>Inne</t>
  </si>
  <si>
    <t>Wycena indywidualna po wcześniejszym potwierdzeniu możliwości wykonania danego mechanizmu.</t>
  </si>
  <si>
    <t>Stream live na Twitch i YouTube</t>
  </si>
  <si>
    <t>0,06 PLN net net</t>
  </si>
  <si>
    <t>2 000 PLN net net</t>
  </si>
  <si>
    <t>10 000 PLN net net</t>
  </si>
  <si>
    <t>40 000 PLN net net</t>
  </si>
  <si>
    <t xml:space="preserve">       Sprzedaż na powierzchniach zewnętrznych na Twitch i YouTube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</si>
</sst>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0\ &quot;zł&quot;;[Red]\-#,##0\ &quot;zł&quot;"/>
    <numFmt numFmtId="44" formatCode="_-* #,##0.00\ &quot;zł&quot;_-;\-* #,##0.00\ &quot;zł&quot;_-;_-* &quot;-&quot;??\ &quot;zł&quot;_-;_-@_-"/>
    <numFmt numFmtId="164" formatCode="_-* #,##0.00\ _z_ł_-;\-* #,##0.00\ _z_ł_-;_-* &quot;-&quot;??\ _z_ł_-;_-@_-"/>
    <numFmt numFmtId="165" formatCode="#,##0.00\ &quot;zł&quot;"/>
    <numFmt numFmtId="166" formatCode="#,##0\ &quot;zł&quot;"/>
    <numFmt numFmtId="167" formatCode="#,##0.0\ &quot;zł&quot;"/>
    <numFmt numFmtId="168" formatCode="#,##0%"/>
    <numFmt numFmtId="169" formatCode="#,##0&quot; &quot;[$zł-415]"/>
    <numFmt numFmtId="170" formatCode="#,##0\ [$PLN]"/>
    <numFmt numFmtId="171" formatCode="#,##0\ [$PLN];[Red]\-#,##0\ [$PLN]"/>
    <numFmt numFmtId="172" formatCode="#,##0.00\ [$PLN]"/>
    <numFmt numFmtId="173" formatCode="#,##0\ [$PLN];\-#,##0\ [$PLN]"/>
  </numFmts>
  <fonts count="86">
    <font>
      <sz val="11"/>
      <color theme="1"/>
      <name val="Calibri"/>
      <family val="2"/>
      <charset val="238"/>
      <scheme val="minor"/>
    </font>
    <font>
      <b/>
      <sz val="10"/>
      <color indexed="8"/>
      <name val="Tahoma"/>
      <family val="2"/>
    </font>
    <font>
      <sz val="10"/>
      <color indexed="8"/>
      <name val="Tahoma"/>
      <family val="2"/>
    </font>
    <font>
      <sz val="10"/>
      <name val="Tahoma"/>
      <family val="2"/>
    </font>
    <font>
      <b/>
      <sz val="8"/>
      <color indexed="8"/>
      <name val="Tahoma"/>
      <family val="2"/>
    </font>
    <font>
      <b/>
      <sz val="10"/>
      <name val="Calibri"/>
      <family val="2"/>
    </font>
    <font>
      <sz val="10"/>
      <name val="Calibri"/>
      <family val="2"/>
    </font>
    <font>
      <sz val="10"/>
      <name val="Arial"/>
      <family val="2"/>
    </font>
    <font>
      <b/>
      <sz val="10"/>
      <name val="Arial"/>
      <family val="2"/>
    </font>
    <font>
      <sz val="11"/>
      <color indexed="8"/>
      <name val="Helvetica Neue"/>
    </font>
    <font>
      <sz val="10"/>
      <color indexed="8"/>
      <name val="Arial"/>
      <family val="2"/>
    </font>
    <font>
      <b/>
      <sz val="10"/>
      <color indexed="9"/>
      <name val="Tahoma"/>
      <family val="2"/>
    </font>
    <font>
      <sz val="11"/>
      <color indexed="8"/>
      <name val="Trebuchet MS"/>
      <family val="2"/>
    </font>
    <font>
      <sz val="12"/>
      <color indexed="8"/>
      <name val="Verdana"/>
      <family val="2"/>
    </font>
    <font>
      <sz val="12"/>
      <color indexed="8"/>
      <name val="Verdana"/>
      <family val="2"/>
    </font>
    <font>
      <sz val="12"/>
      <color indexed="8"/>
      <name val="Verdana"/>
      <family val="2"/>
      <charset val="238"/>
    </font>
    <font>
      <sz val="8"/>
      <color indexed="8"/>
      <name val="Tahoma"/>
      <family val="2"/>
    </font>
    <font>
      <sz val="8"/>
      <color indexed="8"/>
      <name val="Tahoma"/>
      <family val="2"/>
      <charset val="238"/>
    </font>
    <font>
      <sz val="8"/>
      <name val="Tahoma"/>
      <family val="2"/>
    </font>
    <font>
      <vertAlign val="superscript"/>
      <sz val="8"/>
      <color indexed="8"/>
      <name val="Tahoma"/>
      <family val="2"/>
    </font>
    <font>
      <b/>
      <sz val="8"/>
      <color indexed="9"/>
      <name val="Tahoma"/>
      <family val="2"/>
    </font>
    <font>
      <b/>
      <sz val="8"/>
      <name val="Tahoma"/>
      <family val="2"/>
    </font>
    <font>
      <sz val="8"/>
      <name val="Tahoma"/>
      <family val="2"/>
      <charset val="238"/>
    </font>
    <font>
      <sz val="11"/>
      <color theme="1"/>
      <name val="Calibri"/>
      <family val="2"/>
      <charset val="238"/>
      <scheme val="minor"/>
    </font>
    <font>
      <sz val="11"/>
      <color theme="1"/>
      <name val="Calibri"/>
      <family val="2"/>
      <scheme val="minor"/>
    </font>
    <font>
      <u/>
      <sz val="11"/>
      <color theme="10"/>
      <name val="Calibri"/>
      <family val="2"/>
      <charset val="238"/>
      <scheme val="minor"/>
    </font>
    <font>
      <u/>
      <sz val="11"/>
      <color theme="10"/>
      <name val="Calibri"/>
      <family val="2"/>
      <scheme val="minor"/>
    </font>
    <font>
      <sz val="10"/>
      <color rgb="FF000000"/>
      <name val="Arial"/>
      <family val="2"/>
      <charset val="238"/>
    </font>
    <font>
      <b/>
      <sz val="11"/>
      <color theme="1"/>
      <name val="Calibri"/>
      <family val="2"/>
      <charset val="238"/>
      <scheme val="minor"/>
    </font>
    <font>
      <sz val="10"/>
      <color theme="1"/>
      <name val="Tahoma"/>
      <family val="2"/>
    </font>
    <font>
      <sz val="10"/>
      <color rgb="FF000000"/>
      <name val="Tahoma"/>
      <family val="2"/>
    </font>
    <font>
      <b/>
      <sz val="10"/>
      <color theme="0"/>
      <name val="Tahoma"/>
      <family val="2"/>
    </font>
    <font>
      <b/>
      <sz val="10"/>
      <color rgb="FFFFFFFF"/>
      <name val="Tahoma"/>
      <family val="2"/>
    </font>
    <font>
      <sz val="8"/>
      <color theme="1"/>
      <name val="Tahoma"/>
      <family val="2"/>
    </font>
    <font>
      <b/>
      <sz val="10"/>
      <color theme="1"/>
      <name val="Tahoma"/>
      <family val="2"/>
    </font>
    <font>
      <sz val="12"/>
      <color theme="1"/>
      <name val="Tahoma"/>
      <family val="2"/>
    </font>
    <font>
      <sz val="11"/>
      <color indexed="8"/>
      <name val="Calibri"/>
      <family val="2"/>
      <scheme val="minor"/>
    </font>
    <font>
      <sz val="10"/>
      <color rgb="FF1F497D"/>
      <name val="Tahoma"/>
      <family val="2"/>
    </font>
    <font>
      <b/>
      <sz val="10"/>
      <color theme="5"/>
      <name val="Tahoma"/>
      <family val="2"/>
    </font>
    <font>
      <sz val="10"/>
      <color theme="5"/>
      <name val="Tahoma"/>
      <family val="2"/>
    </font>
    <font>
      <sz val="10"/>
      <color theme="0"/>
      <name val="Tahoma"/>
      <family val="2"/>
    </font>
    <font>
      <sz val="10"/>
      <color theme="1"/>
      <name val="Tahoma"/>
      <family val="2"/>
      <charset val="238"/>
    </font>
    <font>
      <b/>
      <sz val="10"/>
      <color rgb="FF002060"/>
      <name val="Tahoma"/>
      <family val="2"/>
    </font>
    <font>
      <sz val="10"/>
      <color theme="0" tint="-0.14999847407452621"/>
      <name val="Tahoma"/>
      <family val="2"/>
    </font>
    <font>
      <b/>
      <sz val="8"/>
      <color theme="0"/>
      <name val="Tahoma"/>
      <family val="2"/>
    </font>
    <font>
      <b/>
      <sz val="10"/>
      <color theme="1"/>
      <name val="Tahoma"/>
      <family val="2"/>
      <charset val="238"/>
    </font>
    <font>
      <sz val="8"/>
      <color theme="1"/>
      <name val="Tahoma"/>
      <family val="2"/>
      <charset val="238"/>
    </font>
    <font>
      <b/>
      <sz val="8"/>
      <color rgb="FF002060"/>
      <name val="Tahoma"/>
      <family val="2"/>
    </font>
    <font>
      <sz val="8"/>
      <color rgb="FFC00000"/>
      <name val="Tahoma"/>
      <family val="2"/>
    </font>
    <font>
      <b/>
      <sz val="8"/>
      <color theme="1"/>
      <name val="Tahoma"/>
      <family val="2"/>
    </font>
    <font>
      <sz val="8"/>
      <color rgb="FF000000"/>
      <name val="Tahoma"/>
      <family val="2"/>
    </font>
    <font>
      <b/>
      <sz val="8"/>
      <color theme="0"/>
      <name val="Tahoma"/>
      <family val="2"/>
      <charset val="238"/>
    </font>
    <font>
      <sz val="8"/>
      <color theme="0"/>
      <name val="Tahoma"/>
      <family val="2"/>
    </font>
    <font>
      <b/>
      <sz val="8"/>
      <color theme="0" tint="-0.14999847407452621"/>
      <name val="Tahoma"/>
      <family val="2"/>
    </font>
    <font>
      <b/>
      <sz val="8"/>
      <color rgb="FFFFFFFF"/>
      <name val="Tahoma"/>
      <family val="2"/>
    </font>
    <font>
      <b/>
      <sz val="8"/>
      <color theme="0" tint="-0.249977111117893"/>
      <name val="Tahoma"/>
      <family val="2"/>
    </font>
    <font>
      <sz val="12"/>
      <color theme="1"/>
      <name val="Tahoma"/>
      <family val="2"/>
      <charset val="238"/>
    </font>
    <font>
      <i/>
      <sz val="8"/>
      <color theme="1"/>
      <name val="Tahoma"/>
      <family val="2"/>
      <charset val="238"/>
    </font>
    <font>
      <b/>
      <sz val="8"/>
      <color theme="0" tint="-0.34998626667073579"/>
      <name val="Tahoma"/>
      <family val="2"/>
      <charset val="238"/>
    </font>
    <font>
      <b/>
      <sz val="8"/>
      <color theme="1"/>
      <name val="Tahoma"/>
      <family val="2"/>
      <charset val="238"/>
    </font>
    <font>
      <sz val="11"/>
      <color rgb="FF1F497D"/>
      <name val="Corbel"/>
      <family val="2"/>
      <charset val="238"/>
    </font>
    <font>
      <b/>
      <sz val="8"/>
      <color indexed="8"/>
      <name val="Tahoma"/>
      <family val="2"/>
      <charset val="238"/>
    </font>
    <font>
      <b/>
      <sz val="8"/>
      <name val="Tahoma"/>
      <family val="2"/>
      <charset val="238"/>
    </font>
    <font>
      <sz val="9"/>
      <color indexed="81"/>
      <name val="Tahoma"/>
      <family val="2"/>
      <charset val="238"/>
    </font>
    <font>
      <b/>
      <sz val="9"/>
      <color indexed="81"/>
      <name val="Tahoma"/>
      <family val="2"/>
      <charset val="238"/>
    </font>
    <font>
      <vertAlign val="superscript"/>
      <sz val="8"/>
      <color theme="1"/>
      <name val="Tahoma"/>
      <family val="2"/>
      <charset val="238"/>
    </font>
    <font>
      <b/>
      <vertAlign val="superscript"/>
      <sz val="8"/>
      <color theme="0"/>
      <name val="Tahoma"/>
      <family val="2"/>
      <charset val="238"/>
    </font>
    <font>
      <sz val="8"/>
      <color theme="0" tint="-0.499984740745262"/>
      <name val="Tahoma"/>
      <family val="2"/>
    </font>
    <font>
      <sz val="8"/>
      <color theme="0" tint="-0.499984740745262"/>
      <name val="Tahoma"/>
      <family val="2"/>
      <charset val="238"/>
    </font>
    <font>
      <sz val="10"/>
      <color theme="0" tint="-0.499984740745262"/>
      <name val="Tahoma"/>
      <family val="2"/>
    </font>
    <font>
      <sz val="11"/>
      <color theme="0" tint="-0.499984740745262"/>
      <name val="Calibri"/>
      <family val="2"/>
      <charset val="238"/>
      <scheme val="minor"/>
    </font>
    <font>
      <sz val="10"/>
      <color theme="0" tint="-0.499984740745262"/>
      <name val="Arial"/>
      <family val="2"/>
    </font>
    <font>
      <sz val="8"/>
      <color theme="4" tint="-0.249977111117893"/>
      <name val="Tahoma"/>
      <family val="2"/>
    </font>
    <font>
      <sz val="8"/>
      <color theme="4" tint="-0.249977111117893"/>
      <name val="Tahoma"/>
      <family val="2"/>
      <charset val="238"/>
    </font>
    <font>
      <vertAlign val="superscript"/>
      <sz val="8"/>
      <color theme="4" tint="-0.249977111117893"/>
      <name val="Tahoma"/>
      <family val="2"/>
      <charset val="238"/>
    </font>
    <font>
      <b/>
      <sz val="10"/>
      <color theme="0"/>
      <name val="Tahoma"/>
      <family val="2"/>
      <charset val="238"/>
    </font>
    <font>
      <b/>
      <sz val="8"/>
      <color rgb="FF002060"/>
      <name val="Tahoma"/>
      <family val="2"/>
      <charset val="238"/>
    </font>
    <font>
      <sz val="10"/>
      <name val="Tahoma"/>
      <family val="2"/>
      <charset val="238"/>
    </font>
    <font>
      <b/>
      <sz val="8"/>
      <color theme="4" tint="-0.249977111117893"/>
      <name val="Tahoma"/>
      <family val="2"/>
    </font>
    <font>
      <b/>
      <sz val="8"/>
      <color theme="0" tint="-4.9989318521683403E-2"/>
      <name val="Tahoma"/>
      <family val="2"/>
      <charset val="238"/>
    </font>
    <font>
      <b/>
      <sz val="8"/>
      <color theme="4" tint="-0.249977111117893"/>
      <name val="Tahoma"/>
      <family val="2"/>
      <charset val="238"/>
    </font>
    <font>
      <b/>
      <sz val="8"/>
      <color theme="0" tint="-4.9989318521683403E-2"/>
      <name val="Tahoma"/>
      <family val="2"/>
    </font>
    <font>
      <sz val="8"/>
      <color theme="3"/>
      <name val="Tahoma"/>
      <family val="2"/>
      <charset val="238"/>
    </font>
    <font>
      <b/>
      <vertAlign val="superscript"/>
      <sz val="8"/>
      <color theme="0" tint="-0.34998626667073579"/>
      <name val="Tahoma"/>
      <family val="2"/>
      <charset val="238"/>
    </font>
    <font>
      <sz val="8"/>
      <color theme="3"/>
      <name val="Tahoma"/>
      <family val="2"/>
    </font>
    <font>
      <sz val="12"/>
      <color theme="1"/>
      <name val="Times New Roman"/>
      <family val="1"/>
      <charset val="238"/>
    </font>
  </fonts>
  <fills count="34">
    <fill>
      <patternFill patternType="none"/>
    </fill>
    <fill>
      <patternFill patternType="gray125"/>
    </fill>
    <fill>
      <patternFill patternType="solid">
        <fgColor indexed="9"/>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indexed="31"/>
      </patternFill>
    </fill>
    <fill>
      <patternFill patternType="solid">
        <fgColor theme="0"/>
        <bgColor indexed="26"/>
      </patternFill>
    </fill>
    <fill>
      <patternFill patternType="solid">
        <fgColor theme="0"/>
        <bgColor indexed="44"/>
      </patternFill>
    </fill>
    <fill>
      <patternFill patternType="solid">
        <fgColor rgb="FFC00000"/>
        <bgColor indexed="64"/>
      </patternFill>
    </fill>
    <fill>
      <patternFill patternType="solid">
        <fgColor rgb="FFFFFFFF"/>
        <bgColor indexed="64"/>
      </patternFill>
    </fill>
    <fill>
      <patternFill patternType="solid">
        <fgColor theme="0"/>
        <bgColor indexed="27"/>
      </patternFill>
    </fill>
    <fill>
      <patternFill patternType="solid">
        <fgColor theme="0"/>
        <bgColor indexed="9"/>
      </patternFill>
    </fill>
    <fill>
      <patternFill patternType="solid">
        <fgColor theme="0" tint="-4.9989318521683403E-2"/>
        <bgColor indexed="64"/>
      </patternFill>
    </fill>
    <fill>
      <patternFill patternType="solid">
        <fgColor rgb="FF00A249"/>
        <bgColor indexed="64"/>
      </patternFill>
    </fill>
    <fill>
      <patternFill patternType="solid">
        <fgColor rgb="FFC00000"/>
        <bgColor theme="0"/>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DC92CC"/>
        <bgColor indexed="64"/>
      </patternFill>
    </fill>
    <fill>
      <patternFill patternType="solid">
        <fgColor rgb="FF7030A0"/>
        <bgColor indexed="64"/>
      </patternFill>
    </fill>
    <fill>
      <patternFill patternType="solid">
        <fgColor theme="4" tint="0.79998168889431442"/>
        <bgColor indexed="64"/>
      </patternFill>
    </fill>
    <fill>
      <patternFill patternType="solid">
        <fgColor rgb="FF635AD8"/>
        <bgColor indexed="64"/>
      </patternFill>
    </fill>
    <fill>
      <patternFill patternType="lightUp">
        <fgColor theme="0" tint="-0.14996795556505021"/>
        <bgColor theme="0"/>
      </patternFill>
    </fill>
    <fill>
      <patternFill patternType="lightUp">
        <fgColor theme="0" tint="-0.14996795556505021"/>
        <bgColor indexed="65"/>
      </patternFill>
    </fill>
    <fill>
      <patternFill patternType="solid">
        <fgColor rgb="FFFFFF00"/>
        <bgColor indexed="64"/>
      </patternFill>
    </fill>
    <fill>
      <patternFill patternType="solid">
        <fgColor theme="0" tint="-0.14999847407452621"/>
        <bgColor indexed="26"/>
      </patternFill>
    </fill>
    <fill>
      <patternFill patternType="solid">
        <fgColor theme="9" tint="-0.249977111117893"/>
        <bgColor indexed="64"/>
      </patternFill>
    </fill>
    <fill>
      <patternFill patternType="solid">
        <fgColor rgb="FF00B050"/>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0" tint="-4.9989318521683403E-2"/>
        <bgColor indexed="26"/>
      </patternFill>
    </fill>
    <fill>
      <patternFill patternType="solid">
        <fgColor rgb="FFFFFF66"/>
        <bgColor indexed="64"/>
      </patternFill>
    </fill>
  </fills>
  <borders count="189">
    <border>
      <left/>
      <right/>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hair">
        <color indexed="64"/>
      </bottom>
      <diagonal/>
    </border>
    <border>
      <left style="thin">
        <color indexed="64"/>
      </left>
      <right/>
      <top style="thin">
        <color indexed="64"/>
      </top>
      <bottom/>
      <diagonal/>
    </border>
    <border>
      <left/>
      <right style="thin">
        <color rgb="FFC00000"/>
      </right>
      <top/>
      <bottom/>
      <diagonal/>
    </border>
    <border>
      <left/>
      <right/>
      <top/>
      <bottom style="thin">
        <color rgb="FFC00000"/>
      </bottom>
      <diagonal/>
    </border>
    <border>
      <left/>
      <right style="thin">
        <color theme="0" tint="-4.9989318521683403E-2"/>
      </right>
      <top/>
      <bottom/>
      <diagonal/>
    </border>
    <border>
      <left/>
      <right style="thin">
        <color theme="0" tint="-4.9989318521683403E-2"/>
      </right>
      <top style="thin">
        <color indexed="64"/>
      </top>
      <bottom/>
      <diagonal/>
    </border>
    <border>
      <left/>
      <right/>
      <top style="thin">
        <color rgb="FFC00000"/>
      </top>
      <bottom/>
      <diagonal/>
    </border>
    <border>
      <left/>
      <right style="thin">
        <color rgb="FFC00000"/>
      </right>
      <top style="thin">
        <color rgb="FFC00000"/>
      </top>
      <bottom/>
      <diagonal/>
    </border>
    <border>
      <left/>
      <right/>
      <top style="thin">
        <color theme="0"/>
      </top>
      <bottom style="thin">
        <color theme="0"/>
      </bottom>
      <diagonal/>
    </border>
    <border>
      <left/>
      <right style="thin">
        <color rgb="FF00B050"/>
      </right>
      <top/>
      <bottom/>
      <diagonal/>
    </border>
    <border>
      <left/>
      <right style="thin">
        <color theme="1"/>
      </right>
      <top/>
      <bottom style="thin">
        <color indexed="64"/>
      </bottom>
      <diagonal/>
    </border>
    <border>
      <left/>
      <right/>
      <top style="thin">
        <color theme="4" tint="0.79998168889431442"/>
      </top>
      <bottom/>
      <diagonal/>
    </border>
    <border>
      <left/>
      <right style="thin">
        <color rgb="FFC00000"/>
      </right>
      <top/>
      <bottom style="thin">
        <color rgb="FFC00000"/>
      </bottom>
      <diagonal/>
    </border>
    <border>
      <left style="thin">
        <color rgb="FFC00000"/>
      </left>
      <right style="thin">
        <color rgb="FFC00000"/>
      </right>
      <top/>
      <bottom/>
      <diagonal/>
    </border>
    <border>
      <left/>
      <right style="thin">
        <color rgb="FFC00000"/>
      </right>
      <top/>
      <bottom style="thin">
        <color theme="0"/>
      </bottom>
      <diagonal/>
    </border>
    <border>
      <left style="thin">
        <color rgb="FFC00000"/>
      </left>
      <right style="thin">
        <color rgb="FFC00000"/>
      </right>
      <top/>
      <bottom style="thin">
        <color theme="0"/>
      </bottom>
      <diagonal/>
    </border>
    <border>
      <left style="thin">
        <color rgb="FFC00000"/>
      </left>
      <right/>
      <top/>
      <bottom style="thin">
        <color theme="0"/>
      </bottom>
      <diagonal/>
    </border>
    <border>
      <left/>
      <right/>
      <top style="thin">
        <color theme="0"/>
      </top>
      <bottom style="thin">
        <color rgb="FFC00000"/>
      </bottom>
      <diagonal/>
    </border>
    <border>
      <left/>
      <right/>
      <top/>
      <bottom style="thin">
        <color theme="0"/>
      </bottom>
      <diagonal/>
    </border>
    <border>
      <left/>
      <right style="thick">
        <color rgb="FFFF0000"/>
      </right>
      <top/>
      <bottom/>
      <diagonal/>
    </border>
    <border>
      <left/>
      <right/>
      <top/>
      <bottom style="thick">
        <color rgb="FFFF0000"/>
      </bottom>
      <diagonal/>
    </border>
    <border>
      <left/>
      <right/>
      <top style="thick">
        <color rgb="FFFF0000"/>
      </top>
      <bottom/>
      <diagonal/>
    </border>
    <border>
      <left/>
      <right style="thick">
        <color rgb="FFFF0000"/>
      </right>
      <top style="thick">
        <color rgb="FFFF0000"/>
      </top>
      <bottom/>
      <diagonal/>
    </border>
    <border>
      <left/>
      <right style="thin">
        <color theme="2"/>
      </right>
      <top/>
      <bottom/>
      <diagonal/>
    </border>
    <border>
      <left/>
      <right style="thin">
        <color indexed="64"/>
      </right>
      <top style="thin">
        <color theme="0"/>
      </top>
      <bottom style="thin">
        <color indexed="64"/>
      </bottom>
      <diagonal/>
    </border>
    <border>
      <left/>
      <right style="thin">
        <color indexed="64"/>
      </right>
      <top/>
      <bottom style="thin">
        <color theme="0"/>
      </bottom>
      <diagonal/>
    </border>
    <border>
      <left/>
      <right style="thin">
        <color theme="5" tint="0.39997558519241921"/>
      </right>
      <top/>
      <bottom/>
      <diagonal/>
    </border>
    <border>
      <left/>
      <right style="thin">
        <color rgb="FF7030A0"/>
      </right>
      <top/>
      <bottom/>
      <diagonal/>
    </border>
    <border>
      <left/>
      <right style="thin">
        <color rgb="FF7030A0"/>
      </right>
      <top/>
      <bottom style="thin">
        <color theme="7" tint="-0.249977111117893"/>
      </bottom>
      <diagonal/>
    </border>
    <border>
      <left/>
      <right/>
      <top/>
      <bottom style="thin">
        <color theme="7" tint="-0.249977111117893"/>
      </bottom>
      <diagonal/>
    </border>
    <border>
      <left/>
      <right style="thin">
        <color indexed="64"/>
      </right>
      <top/>
      <bottom style="thin">
        <color theme="4" tint="0.79998168889431442"/>
      </bottom>
      <diagonal/>
    </border>
    <border>
      <left/>
      <right/>
      <top style="thin">
        <color rgb="FFC00000"/>
      </top>
      <bottom style="thin">
        <color theme="0"/>
      </bottom>
      <diagonal/>
    </border>
    <border>
      <left/>
      <right style="thin">
        <color rgb="FFC00000"/>
      </right>
      <top style="thin">
        <color rgb="FFC00000"/>
      </top>
      <bottom style="thin">
        <color theme="0"/>
      </bottom>
      <diagonal/>
    </border>
    <border>
      <left style="thin">
        <color rgb="FFC00000"/>
      </left>
      <right/>
      <top/>
      <bottom/>
      <diagonal/>
    </border>
    <border>
      <left style="thin">
        <color rgb="FFC00000"/>
      </left>
      <right/>
      <top style="thin">
        <color rgb="FFC00000"/>
      </top>
      <bottom/>
      <diagonal/>
    </border>
    <border>
      <left/>
      <right style="thin">
        <color theme="2"/>
      </right>
      <top style="thick">
        <color rgb="FFFF0000"/>
      </top>
      <bottom/>
      <diagonal/>
    </border>
    <border>
      <left/>
      <right style="thin">
        <color theme="2"/>
      </right>
      <top/>
      <bottom style="thin">
        <color theme="0"/>
      </bottom>
      <diagonal/>
    </border>
    <border>
      <left style="thin">
        <color theme="2"/>
      </left>
      <right/>
      <top/>
      <bottom/>
      <diagonal/>
    </border>
    <border>
      <left style="thin">
        <color theme="2"/>
      </left>
      <right/>
      <top style="thin">
        <color rgb="FFC00000"/>
      </top>
      <bottom/>
      <diagonal/>
    </border>
    <border>
      <left/>
      <right style="thin">
        <color theme="2"/>
      </right>
      <top style="thin">
        <color rgb="FFC00000"/>
      </top>
      <bottom/>
      <diagonal/>
    </border>
    <border>
      <left/>
      <right/>
      <top style="thin">
        <color theme="0"/>
      </top>
      <bottom/>
      <diagonal/>
    </border>
    <border>
      <left/>
      <right/>
      <top style="thin">
        <color indexed="64"/>
      </top>
      <bottom style="thin">
        <color theme="0"/>
      </bottom>
      <diagonal/>
    </border>
    <border>
      <left style="thin">
        <color indexed="64"/>
      </left>
      <right style="thin">
        <color rgb="FFC00000"/>
      </right>
      <top/>
      <bottom/>
      <diagonal/>
    </border>
    <border>
      <left/>
      <right style="thin">
        <color rgb="FFC00000"/>
      </right>
      <top/>
      <bottom style="thin">
        <color indexed="64"/>
      </bottom>
      <diagonal/>
    </border>
    <border>
      <left/>
      <right style="thin">
        <color rgb="FFC00000"/>
      </right>
      <top style="thin">
        <color indexed="64"/>
      </top>
      <bottom style="thin">
        <color theme="0"/>
      </bottom>
      <diagonal/>
    </border>
    <border>
      <left style="thin">
        <color theme="0"/>
      </left>
      <right/>
      <top/>
      <bottom/>
      <diagonal/>
    </border>
    <border>
      <left style="thin">
        <color indexed="64"/>
      </left>
      <right/>
      <top style="thin">
        <color rgb="FFC00000"/>
      </top>
      <bottom style="thin">
        <color indexed="64"/>
      </bottom>
      <diagonal/>
    </border>
    <border>
      <left/>
      <right style="thin">
        <color indexed="64"/>
      </right>
      <top style="thin">
        <color rgb="FFC00000"/>
      </top>
      <bottom style="thin">
        <color indexed="64"/>
      </bottom>
      <diagonal/>
    </border>
    <border>
      <left/>
      <right style="thin">
        <color indexed="64"/>
      </right>
      <top/>
      <bottom style="thin">
        <color theme="2"/>
      </bottom>
      <diagonal/>
    </border>
    <border>
      <left style="thin">
        <color indexed="64"/>
      </left>
      <right/>
      <top style="thin">
        <color theme="0"/>
      </top>
      <bottom style="hair">
        <color indexed="64"/>
      </bottom>
      <diagonal/>
    </border>
    <border>
      <left/>
      <right style="thin">
        <color indexed="64"/>
      </right>
      <top style="thin">
        <color theme="0"/>
      </top>
      <bottom style="hair">
        <color indexed="64"/>
      </bottom>
      <diagonal/>
    </border>
    <border>
      <left/>
      <right/>
      <top style="thin">
        <color theme="2"/>
      </top>
      <bottom style="thin">
        <color theme="0"/>
      </bottom>
      <diagonal/>
    </border>
    <border>
      <left style="thin">
        <color theme="1"/>
      </left>
      <right/>
      <top/>
      <bottom style="thin">
        <color indexed="64"/>
      </bottom>
      <diagonal/>
    </border>
    <border>
      <left style="thick">
        <color rgb="FFFF0000"/>
      </left>
      <right/>
      <top/>
      <bottom/>
      <diagonal/>
    </border>
    <border>
      <left/>
      <right/>
      <top style="thin">
        <color theme="6" tint="0.79998168889431442"/>
      </top>
      <bottom/>
      <diagonal/>
    </border>
    <border>
      <left/>
      <right style="thin">
        <color rgb="FF635AD8"/>
      </right>
      <top/>
      <bottom/>
      <diagonal/>
    </border>
    <border>
      <left style="thin">
        <color indexed="64"/>
      </left>
      <right style="hair">
        <color indexed="64"/>
      </right>
      <top style="thin">
        <color theme="0"/>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theme="0"/>
      </top>
      <bottom style="thin">
        <color indexed="64"/>
      </bottom>
      <diagonal/>
    </border>
    <border>
      <left style="hair">
        <color indexed="64"/>
      </left>
      <right style="hair">
        <color indexed="64"/>
      </right>
      <top style="thin">
        <color theme="0"/>
      </top>
      <bottom style="thin">
        <color indexed="64"/>
      </bottom>
      <diagonal/>
    </border>
    <border>
      <left style="hair">
        <color indexed="64"/>
      </left>
      <right style="hair">
        <color indexed="64"/>
      </right>
      <top style="thin">
        <color indexed="64"/>
      </top>
      <bottom style="thin">
        <color indexed="64"/>
      </bottom>
      <diagonal/>
    </border>
    <border>
      <left/>
      <right/>
      <top style="thin">
        <color theme="0"/>
      </top>
      <bottom style="thin">
        <color theme="6" tint="0.79998168889431442"/>
      </bottom>
      <diagonal/>
    </border>
    <border>
      <left/>
      <right/>
      <top/>
      <bottom style="thin">
        <color theme="6" tint="0.79998168889431442"/>
      </bottom>
      <diagonal/>
    </border>
    <border>
      <left style="thin">
        <color indexed="64"/>
      </left>
      <right style="thin">
        <color indexed="64"/>
      </right>
      <top style="thin">
        <color rgb="FFC00000"/>
      </top>
      <bottom style="thin">
        <color indexed="64"/>
      </bottom>
      <diagonal/>
    </border>
    <border>
      <left style="thin">
        <color indexed="64"/>
      </left>
      <right style="thin">
        <color indexed="64"/>
      </right>
      <top style="thin">
        <color rgb="FFC00000"/>
      </top>
      <bottom/>
      <diagonal/>
    </border>
    <border>
      <left style="thick">
        <color rgb="FFFF0000"/>
      </left>
      <right/>
      <top/>
      <bottom style="thick">
        <color rgb="FFFF0000"/>
      </bottom>
      <diagonal/>
    </border>
    <border>
      <left style="thick">
        <color rgb="FFFF0000"/>
      </left>
      <right/>
      <top style="thin">
        <color theme="0"/>
      </top>
      <bottom/>
      <diagonal/>
    </border>
    <border>
      <left style="thick">
        <color rgb="FFFF0000"/>
      </left>
      <right/>
      <top/>
      <bottom style="thin">
        <color theme="0"/>
      </bottom>
      <diagonal/>
    </border>
    <border>
      <left/>
      <right style="thick">
        <color rgb="FFFF0000"/>
      </right>
      <top/>
      <bottom style="hair">
        <color indexed="64"/>
      </bottom>
      <diagonal/>
    </border>
    <border>
      <left style="thin">
        <color theme="2"/>
      </left>
      <right/>
      <top style="thick">
        <color rgb="FFFF0000"/>
      </top>
      <bottom/>
      <diagonal/>
    </border>
    <border>
      <left style="hair">
        <color indexed="64"/>
      </left>
      <right style="hair">
        <color indexed="64"/>
      </right>
      <top/>
      <bottom style="thin">
        <color indexed="64"/>
      </bottom>
      <diagonal/>
    </border>
    <border>
      <left style="thick">
        <color rgb="FFFF0000"/>
      </left>
      <right/>
      <top style="thin">
        <color theme="0"/>
      </top>
      <bottom style="thin">
        <color theme="0"/>
      </bottom>
      <diagonal/>
    </border>
    <border>
      <left/>
      <right style="thick">
        <color rgb="FFFF0000"/>
      </right>
      <top style="thin">
        <color indexed="64"/>
      </top>
      <bottom style="thin">
        <color indexed="64"/>
      </bottom>
      <diagonal/>
    </border>
    <border>
      <left/>
      <right/>
      <top/>
      <bottom style="thin">
        <color theme="2"/>
      </bottom>
      <diagonal/>
    </border>
    <border>
      <left/>
      <right style="thin">
        <color indexed="64"/>
      </right>
      <top/>
      <bottom style="thick">
        <color rgb="FFFF0000"/>
      </bottom>
      <diagonal/>
    </border>
    <border>
      <left style="hair">
        <color indexed="64"/>
      </left>
      <right style="thin">
        <color indexed="64"/>
      </right>
      <top style="thin">
        <color theme="0"/>
      </top>
      <bottom style="thin">
        <color indexed="64"/>
      </bottom>
      <diagonal/>
    </border>
    <border>
      <left style="thin">
        <color indexed="64"/>
      </left>
      <right style="hair">
        <color indexed="64"/>
      </right>
      <top/>
      <bottom style="thin">
        <color indexed="64"/>
      </bottom>
      <diagonal/>
    </border>
    <border>
      <left/>
      <right style="hair">
        <color indexed="64"/>
      </right>
      <top style="thin">
        <color theme="0"/>
      </top>
      <bottom style="thin">
        <color indexed="64"/>
      </bottom>
      <diagonal/>
    </border>
    <border>
      <left/>
      <right/>
      <top style="thin">
        <color rgb="FFC00000"/>
      </top>
      <bottom style="thin">
        <color rgb="FFC00000"/>
      </bottom>
      <diagonal/>
    </border>
    <border>
      <left/>
      <right/>
      <top style="thin">
        <color theme="6" tint="0.79998168889431442"/>
      </top>
      <bottom style="thin">
        <color rgb="FFC00000"/>
      </bottom>
      <diagonal/>
    </border>
    <border>
      <left style="hair">
        <color indexed="64"/>
      </left>
      <right/>
      <top style="thin">
        <color theme="0"/>
      </top>
      <bottom style="thin">
        <color indexed="64"/>
      </bottom>
      <diagonal/>
    </border>
    <border>
      <left style="thick">
        <color rgb="FFFF0000"/>
      </left>
      <right/>
      <top style="thick">
        <color rgb="FFFF0000"/>
      </top>
      <bottom/>
      <diagonal/>
    </border>
    <border>
      <left/>
      <right style="thin">
        <color indexed="64"/>
      </right>
      <top style="thin">
        <color theme="7" tint="-0.249977111117893"/>
      </top>
      <bottom style="hair">
        <color indexed="64"/>
      </bottom>
      <diagonal/>
    </border>
    <border>
      <left/>
      <right/>
      <top style="thin">
        <color theme="7" tint="-0.249977111117893"/>
      </top>
      <bottom style="hair">
        <color indexed="64"/>
      </bottom>
      <diagonal/>
    </border>
    <border>
      <left/>
      <right style="thin">
        <color theme="0" tint="-0.14999847407452621"/>
      </right>
      <top/>
      <bottom/>
      <diagonal/>
    </border>
    <border>
      <left/>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top style="thin">
        <color theme="0" tint="-0.14999847407452621"/>
      </top>
      <bottom/>
      <diagonal/>
    </border>
    <border>
      <left style="thin">
        <color indexed="64"/>
      </left>
      <right/>
      <top style="hair">
        <color indexed="64"/>
      </top>
      <bottom style="thin">
        <color theme="0" tint="-0.14999847407452621"/>
      </bottom>
      <diagonal/>
    </border>
    <border>
      <left/>
      <right style="thin">
        <color indexed="64"/>
      </right>
      <top/>
      <bottom style="thin">
        <color theme="0" tint="-0.14999847407452621"/>
      </bottom>
      <diagonal/>
    </border>
    <border>
      <left/>
      <right/>
      <top style="hair">
        <color indexed="64"/>
      </top>
      <bottom style="thin">
        <color theme="0" tint="-0.14999847407452621"/>
      </bottom>
      <diagonal/>
    </border>
    <border>
      <left/>
      <right style="thin">
        <color indexed="64"/>
      </right>
      <top style="hair">
        <color indexed="64"/>
      </top>
      <bottom style="thin">
        <color theme="0" tint="-0.14999847407452621"/>
      </bottom>
      <diagonal/>
    </border>
    <border>
      <left/>
      <right style="thin">
        <color theme="0" tint="-0.14999847407452621"/>
      </right>
      <top/>
      <bottom style="thin">
        <color theme="0" tint="-0.14999847407452621"/>
      </bottom>
      <diagonal/>
    </border>
    <border>
      <left/>
      <right style="thin">
        <color indexed="64"/>
      </right>
      <top style="thin">
        <color theme="0" tint="-0.14999847407452621"/>
      </top>
      <bottom style="hair">
        <color indexed="64"/>
      </bottom>
      <diagonal/>
    </border>
    <border>
      <left/>
      <right style="thin">
        <color theme="9" tint="-0.249977111117893"/>
      </right>
      <top/>
      <bottom/>
      <diagonal/>
    </border>
    <border>
      <left/>
      <right/>
      <top/>
      <bottom style="thin">
        <color theme="9" tint="-0.249977111117893"/>
      </bottom>
      <diagonal/>
    </border>
    <border>
      <left/>
      <right/>
      <top style="thin">
        <color theme="2"/>
      </top>
      <bottom/>
      <diagonal/>
    </border>
    <border>
      <left/>
      <right style="thick">
        <color rgb="FFFF0000"/>
      </right>
      <top/>
      <bottom style="thin">
        <color indexed="64"/>
      </bottom>
      <diagonal/>
    </border>
    <border>
      <left/>
      <right style="thin">
        <color indexed="64"/>
      </right>
      <top style="thin">
        <color indexed="64"/>
      </top>
      <bottom/>
      <diagonal/>
    </border>
    <border>
      <left/>
      <right/>
      <top style="thin">
        <color indexed="64"/>
      </top>
      <bottom style="thin">
        <color theme="9" tint="-0.249977111117893"/>
      </bottom>
      <diagonal/>
    </border>
    <border>
      <left style="thin">
        <color theme="5" tint="0.39997558519241921"/>
      </left>
      <right/>
      <top/>
      <bottom/>
      <diagonal/>
    </border>
    <border>
      <left/>
      <right style="thin">
        <color rgb="FF00B050"/>
      </right>
      <top/>
      <bottom style="thin">
        <color rgb="FF00B050"/>
      </bottom>
      <diagonal/>
    </border>
    <border>
      <left/>
      <right/>
      <top/>
      <bottom style="thin">
        <color rgb="FF00B050"/>
      </bottom>
      <diagonal/>
    </border>
    <border>
      <left style="thin">
        <color rgb="FFFF99FF"/>
      </left>
      <right/>
      <top/>
      <bottom/>
      <diagonal/>
    </border>
    <border>
      <left style="thin">
        <color rgb="FFFF99FF"/>
      </left>
      <right/>
      <top/>
      <bottom style="thin">
        <color rgb="FFFF99FF"/>
      </bottom>
      <diagonal/>
    </border>
    <border>
      <left/>
      <right/>
      <top/>
      <bottom style="thin">
        <color rgb="FFFF99FF"/>
      </bottom>
      <diagonal/>
    </border>
    <border>
      <left/>
      <right style="thin">
        <color rgb="FFFF99FF"/>
      </right>
      <top/>
      <bottom style="thin">
        <color rgb="FFFF99FF"/>
      </bottom>
      <diagonal/>
    </border>
    <border>
      <left/>
      <right style="thin">
        <color rgb="FFFF99FF"/>
      </right>
      <top/>
      <bottom/>
      <diagonal/>
    </border>
    <border>
      <left style="thin">
        <color indexed="64"/>
      </left>
      <right style="thin">
        <color indexed="64"/>
      </right>
      <top style="thin">
        <color rgb="FFFF99FF"/>
      </top>
      <bottom style="hair">
        <color indexed="64"/>
      </bottom>
      <diagonal/>
    </border>
    <border>
      <left style="thin">
        <color indexed="64"/>
      </left>
      <right/>
      <top style="thin">
        <color rgb="FFFF99FF"/>
      </top>
      <bottom style="hair">
        <color indexed="64"/>
      </bottom>
      <diagonal/>
    </border>
    <border>
      <left/>
      <right style="thin">
        <color indexed="64"/>
      </right>
      <top style="thin">
        <color rgb="FFFF99FF"/>
      </top>
      <bottom style="hair">
        <color indexed="64"/>
      </bottom>
      <diagonal/>
    </border>
    <border>
      <left/>
      <right/>
      <top/>
      <bottom style="thin">
        <color rgb="FF7030A0"/>
      </bottom>
      <diagonal/>
    </border>
    <border>
      <left/>
      <right style="thin">
        <color rgb="FF7030A0"/>
      </right>
      <top/>
      <bottom style="thin">
        <color rgb="FF7030A0"/>
      </bottom>
      <diagonal/>
    </border>
    <border>
      <left style="thin">
        <color rgb="FF7030A0"/>
      </left>
      <right/>
      <top/>
      <bottom style="thin">
        <color rgb="FF7030A0"/>
      </bottom>
      <diagonal/>
    </border>
    <border>
      <left style="thin">
        <color rgb="FF7030A0"/>
      </left>
      <right/>
      <top/>
      <bottom/>
      <diagonal/>
    </border>
    <border>
      <left style="thin">
        <color theme="0" tint="-0.14999847407452621"/>
      </left>
      <right/>
      <top/>
      <bottom/>
      <diagonal/>
    </border>
    <border>
      <left style="thin">
        <color rgb="FFC00000"/>
      </left>
      <right/>
      <top/>
      <bottom style="thin">
        <color rgb="FFC00000"/>
      </bottom>
      <diagonal/>
    </border>
    <border>
      <left style="thin">
        <color indexed="64"/>
      </left>
      <right/>
      <top style="thin">
        <color rgb="FFC00000"/>
      </top>
      <bottom style="hair">
        <color indexed="64"/>
      </bottom>
      <diagonal/>
    </border>
    <border>
      <left/>
      <right style="thin">
        <color indexed="64"/>
      </right>
      <top style="thin">
        <color rgb="FFC00000"/>
      </top>
      <bottom style="hair">
        <color indexed="64"/>
      </bottom>
      <diagonal/>
    </border>
    <border>
      <left style="thin">
        <color indexed="64"/>
      </left>
      <right/>
      <top style="thin">
        <color rgb="FF00B050"/>
      </top>
      <bottom style="hair">
        <color indexed="64"/>
      </bottom>
      <diagonal/>
    </border>
    <border>
      <left/>
      <right style="thin">
        <color indexed="64"/>
      </right>
      <top style="thin">
        <color rgb="FF00B050"/>
      </top>
      <bottom style="hair">
        <color indexed="64"/>
      </bottom>
      <diagonal/>
    </border>
    <border>
      <left style="thin">
        <color indexed="64"/>
      </left>
      <right/>
      <top style="thin">
        <color rgb="FF7030A0"/>
      </top>
      <bottom style="hair">
        <color indexed="64"/>
      </bottom>
      <diagonal/>
    </border>
    <border>
      <left/>
      <right style="thin">
        <color indexed="64"/>
      </right>
      <top style="thin">
        <color indexed="64"/>
      </top>
      <bottom style="thin">
        <color theme="0"/>
      </bottom>
      <diagonal/>
    </border>
    <border>
      <left/>
      <right style="thin">
        <color indexed="64"/>
      </right>
      <top style="thin">
        <color theme="0"/>
      </top>
      <bottom/>
      <diagonal/>
    </border>
    <border>
      <left style="thin">
        <color indexed="64"/>
      </left>
      <right style="thin">
        <color indexed="64"/>
      </right>
      <top style="thin">
        <color theme="0" tint="-0.14999847407452621"/>
      </top>
      <bottom style="hair">
        <color indexed="64"/>
      </bottom>
      <diagonal/>
    </border>
    <border>
      <left style="thin">
        <color indexed="64"/>
      </left>
      <right/>
      <top style="thin">
        <color theme="0" tint="-0.14999847407452621"/>
      </top>
      <bottom style="hair">
        <color indexed="64"/>
      </bottom>
      <diagonal/>
    </border>
    <border>
      <left/>
      <right/>
      <top style="thin">
        <color theme="0" tint="-0.14999847407452621"/>
      </top>
      <bottom style="hair">
        <color indexed="64"/>
      </bottom>
      <diagonal/>
    </border>
    <border>
      <left style="thin">
        <color indexed="64"/>
      </left>
      <right style="thin">
        <color indexed="64"/>
      </right>
      <top style="thin">
        <color rgb="FF00B050"/>
      </top>
      <bottom style="hair">
        <color indexed="64"/>
      </bottom>
      <diagonal/>
    </border>
    <border>
      <left style="thin">
        <color indexed="64"/>
      </left>
      <right style="thin">
        <color indexed="64"/>
      </right>
      <top style="thin">
        <color rgb="FFC00000"/>
      </top>
      <bottom style="hair">
        <color indexed="64"/>
      </bottom>
      <diagonal/>
    </border>
    <border>
      <left/>
      <right/>
      <top/>
      <bottom style="thin">
        <color theme="5" tint="0.59999389629810485"/>
      </bottom>
      <diagonal/>
    </border>
    <border>
      <left/>
      <right style="thin">
        <color theme="5" tint="0.39997558519241921"/>
      </right>
      <top/>
      <bottom style="thin">
        <color theme="5" tint="0.59999389629810485"/>
      </bottom>
      <diagonal/>
    </border>
    <border>
      <left style="thin">
        <color theme="5" tint="0.39997558519241921"/>
      </left>
      <right/>
      <top/>
      <bottom style="thin">
        <color theme="5" tint="0.59999389629810485"/>
      </bottom>
      <diagonal/>
    </border>
    <border>
      <left style="thin">
        <color theme="0" tint="-0.14999847407452621"/>
      </left>
      <right/>
      <top/>
      <bottom style="thin">
        <color theme="0" tint="-0.14999847407452621"/>
      </bottom>
      <diagonal/>
    </border>
    <border>
      <left style="thin">
        <color indexed="64"/>
      </left>
      <right style="thin">
        <color indexed="64"/>
      </right>
      <top style="thin">
        <color rgb="FF7030A0"/>
      </top>
      <bottom style="hair">
        <color indexed="64"/>
      </bottom>
      <diagonal/>
    </border>
    <border>
      <left/>
      <right style="thin">
        <color indexed="64"/>
      </right>
      <top style="thin">
        <color rgb="FF7030A0"/>
      </top>
      <bottom style="hair">
        <color indexed="64"/>
      </bottom>
      <diagonal/>
    </border>
    <border>
      <left style="thin">
        <color indexed="64"/>
      </left>
      <right style="thin">
        <color indexed="64"/>
      </right>
      <top style="hair">
        <color indexed="64"/>
      </top>
      <bottom style="thin">
        <color rgb="FFC00000"/>
      </bottom>
      <diagonal/>
    </border>
    <border>
      <left style="thin">
        <color indexed="64"/>
      </left>
      <right/>
      <top style="hair">
        <color indexed="64"/>
      </top>
      <bottom style="thin">
        <color rgb="FFC00000"/>
      </bottom>
      <diagonal/>
    </border>
    <border>
      <left/>
      <right style="thin">
        <color indexed="64"/>
      </right>
      <top style="hair">
        <color indexed="64"/>
      </top>
      <bottom style="thin">
        <color rgb="FFC00000"/>
      </bottom>
      <diagonal/>
    </border>
    <border>
      <left style="thin">
        <color indexed="64"/>
      </left>
      <right/>
      <top/>
      <bottom style="thin">
        <color rgb="FFC00000"/>
      </bottom>
      <diagonal/>
    </border>
    <border>
      <left style="thin">
        <color indexed="64"/>
      </left>
      <right/>
      <top style="thin">
        <color rgb="FFC00000"/>
      </top>
      <bottom/>
      <diagonal/>
    </border>
    <border>
      <left/>
      <right style="thin">
        <color indexed="64"/>
      </right>
      <top style="thin">
        <color rgb="FFC00000"/>
      </top>
      <bottom/>
      <diagonal/>
    </border>
    <border>
      <left/>
      <right style="thin">
        <color indexed="64"/>
      </right>
      <top/>
      <bottom style="thin">
        <color rgb="FFC00000"/>
      </bottom>
      <diagonal/>
    </border>
    <border>
      <left style="thin">
        <color indexed="64"/>
      </left>
      <right style="thin">
        <color indexed="64"/>
      </right>
      <top style="hair">
        <color indexed="64"/>
      </top>
      <bottom style="thin">
        <color rgb="FFFF99FF"/>
      </bottom>
      <diagonal/>
    </border>
    <border>
      <left style="thin">
        <color indexed="64"/>
      </left>
      <right/>
      <top style="hair">
        <color indexed="64"/>
      </top>
      <bottom style="thin">
        <color rgb="FFFF99FF"/>
      </bottom>
      <diagonal/>
    </border>
    <border>
      <left/>
      <right style="thin">
        <color indexed="64"/>
      </right>
      <top style="hair">
        <color indexed="64"/>
      </top>
      <bottom style="thin">
        <color rgb="FFFF99FF"/>
      </bottom>
      <diagonal/>
    </border>
    <border>
      <left style="thin">
        <color indexed="64"/>
      </left>
      <right/>
      <top/>
      <bottom style="thin">
        <color rgb="FFFF99FF"/>
      </bottom>
      <diagonal/>
    </border>
    <border>
      <left/>
      <right style="thin">
        <color indexed="64"/>
      </right>
      <top/>
      <bottom style="thin">
        <color rgb="FFFF99FF"/>
      </bottom>
      <diagonal/>
    </border>
    <border>
      <left style="thin">
        <color indexed="64"/>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n">
        <color indexed="64"/>
      </left>
      <right style="thin">
        <color indexed="64"/>
      </right>
      <top/>
      <bottom style="thin">
        <color rgb="FFC00000"/>
      </bottom>
      <diagonal/>
    </border>
    <border>
      <left style="thin">
        <color indexed="64"/>
      </left>
      <right style="thin">
        <color rgb="FFC00000"/>
      </right>
      <top/>
      <bottom style="thin">
        <color rgb="FFC00000"/>
      </bottom>
      <diagonal/>
    </border>
    <border>
      <left style="thin">
        <color rgb="FFC00000"/>
      </left>
      <right style="thin">
        <color indexed="64"/>
      </right>
      <top style="thin">
        <color rgb="FFC00000"/>
      </top>
      <bottom style="thin">
        <color rgb="FFC00000"/>
      </bottom>
      <diagonal/>
    </border>
    <border>
      <left style="thin">
        <color indexed="64"/>
      </left>
      <right style="thin">
        <color rgb="FFC00000"/>
      </right>
      <top style="thin">
        <color rgb="FFC00000"/>
      </top>
      <bottom style="thin">
        <color rgb="FFC00000"/>
      </bottom>
      <diagonal/>
    </border>
    <border>
      <left/>
      <right/>
      <top style="thin">
        <color indexed="64"/>
      </top>
      <bottom style="thin">
        <color rgb="FFC00000"/>
      </bottom>
      <diagonal/>
    </border>
  </borders>
  <cellStyleXfs count="39">
    <xf numFmtId="0" fontId="0" fillId="0" borderId="0"/>
    <xf numFmtId="164" fontId="23"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3" fillId="0" borderId="0"/>
    <xf numFmtId="0" fontId="24" fillId="0" borderId="0"/>
    <xf numFmtId="0" fontId="23" fillId="0" borderId="0"/>
    <xf numFmtId="0" fontId="27" fillId="0" borderId="0"/>
    <xf numFmtId="0" fontId="24" fillId="0" borderId="0"/>
    <xf numFmtId="0" fontId="9" fillId="0" borderId="0">
      <alignment vertical="top"/>
    </xf>
    <xf numFmtId="0" fontId="27" fillId="0" borderId="0"/>
    <xf numFmtId="0" fontId="27" fillId="0" borderId="0"/>
    <xf numFmtId="0" fontId="13" fillId="0" borderId="0" applyNumberFormat="0" applyFill="0" applyBorder="0" applyProtection="0">
      <alignment vertical="top" wrapText="1"/>
    </xf>
    <xf numFmtId="0" fontId="15" fillId="0" borderId="0" applyNumberFormat="0" applyFill="0" applyBorder="0" applyProtection="0">
      <alignment vertical="top" wrapText="1"/>
    </xf>
    <xf numFmtId="0" fontId="14" fillId="0" borderId="0" applyNumberFormat="0" applyFill="0" applyBorder="0" applyProtection="0">
      <alignment vertical="top" wrapText="1"/>
    </xf>
    <xf numFmtId="0" fontId="13" fillId="0" borderId="0" applyNumberFormat="0" applyFill="0" applyBorder="0" applyProtection="0">
      <alignment vertical="top" wrapText="1"/>
    </xf>
    <xf numFmtId="0" fontId="15" fillId="0" borderId="0" applyNumberFormat="0" applyFill="0" applyBorder="0" applyProtection="0">
      <alignment vertical="top" wrapText="1"/>
    </xf>
    <xf numFmtId="0" fontId="15" fillId="0" borderId="0" applyNumberFormat="0" applyFill="0" applyBorder="0" applyProtection="0">
      <alignment vertical="top"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9" fontId="23"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44" fontId="23"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3" fillId="0" borderId="0" applyFont="0" applyFill="0" applyBorder="0" applyAlignment="0" applyProtection="0"/>
  </cellStyleXfs>
  <cellXfs count="1291">
    <xf numFmtId="0" fontId="0" fillId="0" borderId="0" xfId="0"/>
    <xf numFmtId="0" fontId="29" fillId="4" borderId="0" xfId="0" applyFont="1" applyFill="1" applyAlignment="1">
      <alignment horizontal="center" vertical="center"/>
    </xf>
    <xf numFmtId="0" fontId="29" fillId="4" borderId="0" xfId="0" applyFont="1" applyFill="1"/>
    <xf numFmtId="0" fontId="29" fillId="4" borderId="0" xfId="0" applyFont="1" applyFill="1" applyAlignment="1">
      <alignment vertical="center"/>
    </xf>
    <xf numFmtId="6" fontId="29" fillId="4" borderId="0" xfId="0" applyNumberFormat="1" applyFont="1" applyFill="1" applyBorder="1" applyAlignment="1">
      <alignment horizontal="center" vertical="center" wrapText="1"/>
    </xf>
    <xf numFmtId="0" fontId="30" fillId="4" borderId="0" xfId="0" applyFont="1" applyFill="1" applyBorder="1" applyAlignment="1">
      <alignment horizontal="center" vertical="center" wrapText="1"/>
    </xf>
    <xf numFmtId="0" fontId="31" fillId="4" borderId="0" xfId="0" applyFont="1" applyFill="1" applyBorder="1" applyAlignment="1">
      <alignment vertical="center" wrapText="1"/>
    </xf>
    <xf numFmtId="0" fontId="31" fillId="4" borderId="0" xfId="0" applyFont="1" applyFill="1" applyBorder="1" applyAlignment="1">
      <alignment vertical="top" wrapText="1"/>
    </xf>
    <xf numFmtId="0" fontId="29" fillId="4" borderId="0" xfId="0" applyFont="1" applyFill="1" applyBorder="1" applyAlignment="1"/>
    <xf numFmtId="0" fontId="32" fillId="4" borderId="0" xfId="0" applyFont="1" applyFill="1" applyBorder="1" applyAlignment="1">
      <alignment vertical="center"/>
    </xf>
    <xf numFmtId="0" fontId="32" fillId="4" borderId="0" xfId="0" applyFont="1" applyFill="1" applyBorder="1" applyAlignment="1">
      <alignment vertical="center" wrapText="1"/>
    </xf>
    <xf numFmtId="0" fontId="0" fillId="3" borderId="0" xfId="0" applyFill="1"/>
    <xf numFmtId="0" fontId="0" fillId="4" borderId="0" xfId="0" applyFill="1"/>
    <xf numFmtId="0" fontId="0" fillId="4" borderId="0" xfId="0" applyFill="1" applyAlignment="1">
      <alignment horizontal="left" vertical="top" wrapText="1"/>
    </xf>
    <xf numFmtId="0" fontId="29" fillId="4" borderId="0" xfId="0" applyFont="1" applyFill="1" applyAlignment="1">
      <alignment horizontal="left" wrapText="1"/>
    </xf>
    <xf numFmtId="0" fontId="34" fillId="4" borderId="0" xfId="0" applyFont="1" applyFill="1" applyBorder="1"/>
    <xf numFmtId="0" fontId="33" fillId="4" borderId="0" xfId="0" applyFont="1" applyFill="1" applyAlignment="1">
      <alignment vertical="center" wrapText="1"/>
    </xf>
    <xf numFmtId="6" fontId="3" fillId="4" borderId="0" xfId="0" applyNumberFormat="1" applyFont="1" applyFill="1" applyBorder="1" applyAlignment="1">
      <alignment horizontal="center" vertical="center" wrapText="1"/>
    </xf>
    <xf numFmtId="0" fontId="31" fillId="4" borderId="0" xfId="0" applyFont="1" applyFill="1" applyBorder="1" applyAlignment="1">
      <alignment horizontal="center" vertical="center" wrapText="1" readingOrder="1"/>
    </xf>
    <xf numFmtId="9" fontId="29" fillId="4" borderId="0" xfId="0" applyNumberFormat="1" applyFont="1" applyFill="1"/>
    <xf numFmtId="165" fontId="29" fillId="4" borderId="0" xfId="0" applyNumberFormat="1" applyFont="1" applyFill="1" applyBorder="1" applyAlignment="1">
      <alignment horizontal="center" vertical="center"/>
    </xf>
    <xf numFmtId="167" fontId="29" fillId="4" borderId="0" xfId="0" applyNumberFormat="1" applyFont="1" applyFill="1" applyBorder="1" applyAlignment="1">
      <alignment horizontal="center" vertical="center"/>
    </xf>
    <xf numFmtId="0" fontId="29" fillId="4" borderId="35" xfId="0" applyFont="1" applyFill="1" applyBorder="1"/>
    <xf numFmtId="0" fontId="10" fillId="4" borderId="0" xfId="0" applyFont="1" applyFill="1" applyBorder="1"/>
    <xf numFmtId="0" fontId="31" fillId="4" borderId="0" xfId="0" applyFont="1" applyFill="1" applyBorder="1" applyAlignment="1">
      <alignment horizontal="center" vertical="top" wrapText="1"/>
    </xf>
    <xf numFmtId="0" fontId="3" fillId="4" borderId="0" xfId="0" applyFont="1" applyFill="1"/>
    <xf numFmtId="0" fontId="30" fillId="4" borderId="0" xfId="0" applyFont="1" applyFill="1" applyBorder="1" applyAlignment="1">
      <alignment vertical="center" wrapText="1"/>
    </xf>
    <xf numFmtId="6" fontId="30" fillId="4" borderId="0" xfId="0" applyNumberFormat="1" applyFont="1" applyFill="1" applyBorder="1" applyAlignment="1">
      <alignment horizontal="center" vertical="center" wrapText="1"/>
    </xf>
    <xf numFmtId="0" fontId="0" fillId="3" borderId="0" xfId="0" applyFill="1" applyAlignment="1">
      <alignment horizontal="center" vertical="center"/>
    </xf>
    <xf numFmtId="0" fontId="0" fillId="3" borderId="0" xfId="0" applyFill="1" applyAlignment="1">
      <alignment horizontal="left" vertical="center"/>
    </xf>
    <xf numFmtId="0" fontId="29" fillId="4" borderId="0" xfId="0" applyFont="1" applyFill="1" applyBorder="1" applyAlignment="1">
      <alignment horizontal="left" wrapText="1"/>
    </xf>
    <xf numFmtId="0" fontId="29" fillId="4" borderId="0" xfId="0" applyFont="1" applyFill="1" applyBorder="1" applyAlignment="1">
      <alignment textRotation="90" wrapText="1"/>
    </xf>
    <xf numFmtId="0" fontId="29" fillId="5" borderId="2" xfId="0" applyFont="1" applyFill="1" applyBorder="1"/>
    <xf numFmtId="0" fontId="35" fillId="5" borderId="2" xfId="0" applyFont="1" applyFill="1" applyBorder="1"/>
    <xf numFmtId="0" fontId="34" fillId="5" borderId="2" xfId="0" applyFont="1" applyFill="1" applyBorder="1"/>
    <xf numFmtId="0" fontId="3" fillId="4" borderId="0" xfId="0" applyFont="1" applyFill="1" applyBorder="1" applyAlignment="1">
      <alignment vertical="center" wrapText="1"/>
    </xf>
    <xf numFmtId="0" fontId="29" fillId="4" borderId="0" xfId="0" applyFont="1" applyFill="1" applyBorder="1" applyAlignment="1">
      <alignment vertical="top" wrapText="1"/>
    </xf>
    <xf numFmtId="165" fontId="29" fillId="4" borderId="0" xfId="0" applyNumberFormat="1" applyFont="1" applyFill="1" applyBorder="1" applyAlignment="1">
      <alignment vertical="center"/>
    </xf>
    <xf numFmtId="0" fontId="31" fillId="7" borderId="0" xfId="0" applyNumberFormat="1" applyFont="1" applyFill="1" applyBorder="1" applyAlignment="1">
      <alignment horizontal="center" vertical="center" wrapText="1"/>
    </xf>
    <xf numFmtId="0" fontId="3" fillId="4" borderId="0" xfId="17" applyNumberFormat="1" applyFont="1" applyFill="1" applyBorder="1" applyAlignment="1">
      <alignment horizontal="left" vertical="center" wrapText="1"/>
    </xf>
    <xf numFmtId="0" fontId="2" fillId="2" borderId="0" xfId="17" applyNumberFormat="1" applyFont="1" applyFill="1" applyBorder="1" applyAlignment="1">
      <alignment horizontal="center" vertical="center" wrapText="1"/>
    </xf>
    <xf numFmtId="169" fontId="2" fillId="2" borderId="0" xfId="17" applyNumberFormat="1" applyFont="1" applyFill="1" applyBorder="1" applyAlignment="1">
      <alignment horizontal="center" vertical="center" wrapText="1"/>
    </xf>
    <xf numFmtId="0" fontId="29" fillId="4" borderId="0" xfId="0" applyFont="1" applyFill="1"/>
    <xf numFmtId="0" fontId="29" fillId="4" borderId="0" xfId="0" applyFont="1" applyFill="1" applyBorder="1" applyAlignment="1">
      <alignment horizontal="center" vertical="center" wrapText="1"/>
    </xf>
    <xf numFmtId="0" fontId="29" fillId="4" borderId="0" xfId="0" applyFont="1" applyFill="1"/>
    <xf numFmtId="0" fontId="29" fillId="4" borderId="0" xfId="0" applyFont="1" applyFill="1"/>
    <xf numFmtId="0" fontId="31" fillId="4" borderId="0" xfId="0" applyFont="1" applyFill="1" applyBorder="1" applyAlignment="1"/>
    <xf numFmtId="0" fontId="29" fillId="4" borderId="0" xfId="0" applyFont="1" applyFill="1"/>
    <xf numFmtId="0" fontId="29" fillId="4" borderId="0" xfId="0" applyFont="1" applyFill="1"/>
    <xf numFmtId="0" fontId="29" fillId="4" borderId="0" xfId="0" applyFont="1" applyFill="1"/>
    <xf numFmtId="0" fontId="29" fillId="4" borderId="0" xfId="0" applyFont="1" applyFill="1"/>
    <xf numFmtId="49" fontId="29" fillId="4" borderId="0" xfId="0" applyNumberFormat="1" applyFont="1" applyFill="1"/>
    <xf numFmtId="0" fontId="31" fillId="7" borderId="0" xfId="0" applyNumberFormat="1" applyFont="1" applyFill="1" applyBorder="1" applyAlignment="1">
      <alignment vertical="center" wrapText="1"/>
    </xf>
    <xf numFmtId="0" fontId="33" fillId="4" borderId="0" xfId="0" applyFont="1" applyFill="1" applyBorder="1" applyAlignment="1">
      <alignment vertical="top" wrapText="1"/>
    </xf>
    <xf numFmtId="0" fontId="3" fillId="4" borderId="0" xfId="17" applyNumberFormat="1" applyFont="1" applyFill="1" applyBorder="1" applyAlignment="1">
      <alignment horizontal="left" vertical="center" wrapText="1" indent="1"/>
    </xf>
    <xf numFmtId="3" fontId="2" fillId="4" borderId="0" xfId="17" applyNumberFormat="1" applyFont="1" applyFill="1" applyBorder="1" applyAlignment="1">
      <alignment horizontal="center" vertical="center" wrapText="1"/>
    </xf>
    <xf numFmtId="169" fontId="2" fillId="4" borderId="0" xfId="17" applyNumberFormat="1" applyFont="1" applyFill="1" applyBorder="1" applyAlignment="1">
      <alignment horizontal="center" vertical="center" wrapText="1"/>
    </xf>
    <xf numFmtId="0" fontId="34" fillId="4" borderId="0" xfId="0" applyFont="1" applyFill="1" applyBorder="1" applyAlignment="1">
      <alignment horizontal="left" vertical="center" indent="1"/>
    </xf>
    <xf numFmtId="0" fontId="29" fillId="4" borderId="0" xfId="0" applyFont="1" applyFill="1"/>
    <xf numFmtId="0" fontId="31" fillId="9" borderId="0" xfId="0" applyFont="1" applyFill="1" applyBorder="1" applyAlignment="1">
      <alignment vertical="center"/>
    </xf>
    <xf numFmtId="0" fontId="29" fillId="10" borderId="0" xfId="0" applyFont="1" applyFill="1" applyBorder="1" applyAlignment="1">
      <alignment horizontal="left" vertical="center" wrapText="1" indent="1"/>
    </xf>
    <xf numFmtId="0" fontId="3" fillId="4" borderId="0" xfId="0" applyFont="1" applyFill="1" applyBorder="1" applyAlignment="1">
      <alignment vertical="center"/>
    </xf>
    <xf numFmtId="0" fontId="3" fillId="4" borderId="0" xfId="0" applyFont="1" applyFill="1" applyBorder="1" applyAlignment="1">
      <alignment vertical="top" wrapText="1"/>
    </xf>
    <xf numFmtId="0" fontId="1" fillId="4" borderId="0" xfId="0" applyFont="1" applyFill="1" applyAlignment="1">
      <alignment vertical="center" wrapText="1"/>
    </xf>
    <xf numFmtId="0" fontId="31" fillId="11" borderId="0" xfId="0" applyNumberFormat="1" applyFont="1" applyFill="1" applyBorder="1" applyAlignment="1">
      <alignment horizontal="center" vertical="center"/>
    </xf>
    <xf numFmtId="168" fontId="2" fillId="4" borderId="0" xfId="0" applyNumberFormat="1" applyFont="1" applyFill="1" applyBorder="1" applyAlignment="1">
      <alignment horizontal="center" vertical="center"/>
    </xf>
    <xf numFmtId="0" fontId="2" fillId="4" borderId="0" xfId="0" applyNumberFormat="1" applyFont="1" applyFill="1" applyBorder="1" applyAlignment="1">
      <alignment horizontal="center" vertical="center" wrapText="1"/>
    </xf>
    <xf numFmtId="0" fontId="30" fillId="4" borderId="0" xfId="0" applyFont="1" applyFill="1" applyAlignment="1">
      <alignment horizontal="left" vertical="center" indent="2"/>
    </xf>
    <xf numFmtId="0" fontId="30" fillId="0" borderId="0" xfId="0" applyFont="1" applyBorder="1" applyAlignment="1">
      <alignment horizontal="left" vertical="center" indent="2"/>
    </xf>
    <xf numFmtId="0" fontId="1" fillId="4" borderId="0" xfId="0" applyFont="1" applyFill="1" applyAlignment="1">
      <alignment horizontal="right" vertical="center" wrapText="1"/>
    </xf>
    <xf numFmtId="0" fontId="29" fillId="5" borderId="2" xfId="0" applyFont="1" applyFill="1" applyBorder="1" applyAlignment="1"/>
    <xf numFmtId="0" fontId="37" fillId="4" borderId="0" xfId="0" applyFont="1" applyFill="1" applyBorder="1" applyAlignment="1">
      <alignment vertical="center"/>
    </xf>
    <xf numFmtId="0" fontId="29" fillId="4" borderId="0" xfId="0" applyFont="1" applyFill="1"/>
    <xf numFmtId="0" fontId="29" fillId="4" borderId="0" xfId="0" applyFont="1" applyFill="1" applyBorder="1" applyAlignment="1">
      <alignment vertical="center"/>
    </xf>
    <xf numFmtId="166" fontId="29" fillId="4" borderId="0" xfId="0" applyNumberFormat="1" applyFont="1" applyFill="1" applyBorder="1" applyAlignment="1">
      <alignment horizontal="center" vertical="center"/>
    </xf>
    <xf numFmtId="0" fontId="33" fillId="4" borderId="0" xfId="0" applyFont="1" applyFill="1" applyBorder="1" applyAlignment="1">
      <alignment vertical="center"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5" fillId="4" borderId="0" xfId="0" applyFont="1" applyFill="1" applyBorder="1" applyAlignment="1">
      <alignment horizontal="center" vertical="center" wrapText="1"/>
    </xf>
    <xf numFmtId="0" fontId="29" fillId="4" borderId="0" xfId="0" applyFont="1" applyFill="1"/>
    <xf numFmtId="0" fontId="33" fillId="3" borderId="0" xfId="0" applyFont="1" applyFill="1" applyAlignment="1">
      <alignment vertical="top" wrapText="1"/>
    </xf>
    <xf numFmtId="0" fontId="29" fillId="4" borderId="0" xfId="0" applyFont="1" applyFill="1"/>
    <xf numFmtId="0" fontId="29" fillId="4" borderId="0" xfId="0" applyFont="1" applyFill="1"/>
    <xf numFmtId="0" fontId="29" fillId="4" borderId="0" xfId="0" applyFont="1" applyFill="1"/>
    <xf numFmtId="0" fontId="29" fillId="4" borderId="0" xfId="0" applyFont="1" applyFill="1"/>
    <xf numFmtId="0" fontId="29" fillId="4" borderId="0" xfId="0" applyFont="1" applyFill="1"/>
    <xf numFmtId="0" fontId="31" fillId="4" borderId="0" xfId="0" applyFont="1" applyFill="1" applyBorder="1" applyAlignment="1">
      <alignment horizontal="center" vertical="center"/>
    </xf>
    <xf numFmtId="0" fontId="29" fillId="4" borderId="0" xfId="0" applyFont="1" applyFill="1"/>
    <xf numFmtId="0" fontId="38" fillId="4" borderId="0" xfId="0" applyFont="1" applyFill="1"/>
    <xf numFmtId="0" fontId="39" fillId="4" borderId="0" xfId="0" applyFont="1" applyFill="1"/>
    <xf numFmtId="0" fontId="38" fillId="4" borderId="0" xfId="0" applyFont="1" applyFill="1" applyBorder="1"/>
    <xf numFmtId="0" fontId="35" fillId="5" borderId="2" xfId="0" applyFont="1" applyFill="1" applyBorder="1" applyAlignment="1"/>
    <xf numFmtId="0" fontId="4" fillId="4" borderId="0" xfId="0" applyFont="1" applyFill="1" applyAlignment="1">
      <alignment wrapText="1"/>
    </xf>
    <xf numFmtId="0" fontId="40" fillId="4" borderId="0" xfId="0" applyFont="1" applyFill="1" applyBorder="1"/>
    <xf numFmtId="0" fontId="40" fillId="4" borderId="0" xfId="0" applyFont="1" applyFill="1" applyBorder="1" applyAlignment="1">
      <alignment horizontal="left" vertical="center" wrapText="1" indent="1"/>
    </xf>
    <xf numFmtId="0" fontId="29" fillId="4" borderId="0" xfId="0" applyFont="1" applyFill="1"/>
    <xf numFmtId="0" fontId="29" fillId="4" borderId="0" xfId="0" applyFont="1" applyFill="1"/>
    <xf numFmtId="0" fontId="41" fillId="4" borderId="0" xfId="11" applyFont="1" applyFill="1" applyBorder="1" applyAlignment="1">
      <alignment horizontal="left" indent="1"/>
    </xf>
    <xf numFmtId="49" fontId="41" fillId="4" borderId="0" xfId="8" applyNumberFormat="1" applyFont="1" applyFill="1" applyBorder="1" applyAlignment="1">
      <alignment horizontal="center"/>
    </xf>
    <xf numFmtId="0" fontId="29" fillId="4" borderId="0" xfId="0" applyFont="1" applyFill="1" applyBorder="1"/>
    <xf numFmtId="0" fontId="29" fillId="4" borderId="0" xfId="0" applyFont="1" applyFill="1"/>
    <xf numFmtId="0" fontId="29" fillId="4" borderId="0" xfId="0" applyFont="1" applyFill="1"/>
    <xf numFmtId="0" fontId="29" fillId="4" borderId="0" xfId="0" applyFont="1" applyFill="1"/>
    <xf numFmtId="0" fontId="30" fillId="4" borderId="0" xfId="0" applyFont="1" applyFill="1" applyBorder="1" applyAlignment="1">
      <alignment horizontal="left" vertical="center" indent="2"/>
    </xf>
    <xf numFmtId="0" fontId="29" fillId="4" borderId="0" xfId="0" applyFont="1" applyFill="1"/>
    <xf numFmtId="0" fontId="29" fillId="4" borderId="0" xfId="0" applyFont="1" applyFill="1"/>
    <xf numFmtId="0" fontId="29" fillId="4" borderId="0" xfId="0" applyFont="1" applyFill="1"/>
    <xf numFmtId="0" fontId="29" fillId="4" borderId="0" xfId="0" applyFont="1" applyFill="1"/>
    <xf numFmtId="0" fontId="31" fillId="9" borderId="35" xfId="0" applyFont="1" applyFill="1" applyBorder="1" applyAlignment="1">
      <alignment horizontal="center" vertical="center"/>
    </xf>
    <xf numFmtId="0" fontId="31" fillId="9" borderId="0" xfId="0" applyFont="1" applyFill="1" applyBorder="1" applyAlignment="1">
      <alignment horizontal="center" vertical="center" wrapText="1"/>
    </xf>
    <xf numFmtId="0" fontId="29" fillId="4" borderId="0" xfId="0" applyFont="1" applyFill="1" applyBorder="1" applyAlignment="1">
      <alignment horizontal="left" vertical="center" wrapText="1" indent="1"/>
    </xf>
    <xf numFmtId="0" fontId="29" fillId="4" borderId="0" xfId="0" applyFont="1" applyFill="1" applyBorder="1" applyAlignment="1">
      <alignment horizontal="left" vertical="center" indent="1"/>
    </xf>
    <xf numFmtId="0" fontId="31" fillId="4" borderId="0" xfId="0" applyFont="1" applyFill="1" applyBorder="1" applyAlignment="1">
      <alignment horizontal="center" vertical="center" wrapText="1"/>
    </xf>
    <xf numFmtId="0" fontId="29" fillId="4" borderId="0" xfId="0" applyFont="1" applyFill="1"/>
    <xf numFmtId="3" fontId="2" fillId="12" borderId="0" xfId="0" applyNumberFormat="1" applyFont="1" applyFill="1" applyBorder="1" applyAlignment="1">
      <alignment horizontal="center" vertical="center"/>
    </xf>
    <xf numFmtId="3" fontId="29" fillId="4" borderId="0" xfId="0" applyNumberFormat="1" applyFont="1" applyFill="1" applyBorder="1" applyAlignment="1">
      <alignment horizontal="center" vertical="center"/>
    </xf>
    <xf numFmtId="166" fontId="2" fillId="6" borderId="0" xfId="0" applyNumberFormat="1" applyFont="1" applyFill="1" applyBorder="1" applyAlignment="1">
      <alignment horizontal="center" vertical="center"/>
    </xf>
    <xf numFmtId="0" fontId="36" fillId="6" borderId="0" xfId="0" applyNumberFormat="1" applyFont="1" applyFill="1" applyBorder="1" applyAlignment="1">
      <alignment horizontal="center" vertical="center"/>
    </xf>
    <xf numFmtId="166" fontId="36" fillId="6" borderId="0" xfId="0" applyNumberFormat="1" applyFont="1" applyFill="1" applyBorder="1" applyAlignment="1">
      <alignment horizontal="center" vertical="center"/>
    </xf>
    <xf numFmtId="166" fontId="36" fillId="8" borderId="0" xfId="0" applyNumberFormat="1" applyFont="1" applyFill="1" applyBorder="1" applyAlignment="1">
      <alignment horizontal="center" vertical="center"/>
    </xf>
    <xf numFmtId="0" fontId="30" fillId="4" borderId="0" xfId="0" applyFont="1" applyFill="1" applyBorder="1" applyAlignment="1">
      <alignment horizontal="center" vertical="center" wrapText="1" readingOrder="1"/>
    </xf>
    <xf numFmtId="3" fontId="29" fillId="4" borderId="0" xfId="0" applyNumberFormat="1" applyFont="1" applyFill="1" applyBorder="1" applyAlignment="1">
      <alignment horizontal="center" vertical="center" readingOrder="1"/>
    </xf>
    <xf numFmtId="6" fontId="29" fillId="7" borderId="0" xfId="0" applyNumberFormat="1" applyFont="1" applyFill="1" applyBorder="1" applyAlignment="1">
      <alignment horizontal="center" vertical="center" readingOrder="1"/>
    </xf>
    <xf numFmtId="6" fontId="29" fillId="4" borderId="0" xfId="0" applyNumberFormat="1" applyFont="1" applyFill="1" applyBorder="1" applyAlignment="1">
      <alignment horizontal="center" vertical="center" readingOrder="1"/>
    </xf>
    <xf numFmtId="0" fontId="43" fillId="4" borderId="0" xfId="0" applyFont="1" applyFill="1"/>
    <xf numFmtId="0" fontId="29" fillId="4" borderId="0" xfId="0" applyFont="1" applyFill="1"/>
    <xf numFmtId="0" fontId="31" fillId="11" borderId="0" xfId="0" applyNumberFormat="1" applyFont="1" applyFill="1" applyBorder="1" applyAlignment="1">
      <alignment vertical="center"/>
    </xf>
    <xf numFmtId="0" fontId="29" fillId="4" borderId="0" xfId="0" applyFont="1" applyFill="1"/>
    <xf numFmtId="0" fontId="33" fillId="0" borderId="0" xfId="0" applyFont="1" applyFill="1" applyBorder="1" applyAlignment="1">
      <alignment horizontal="center" vertical="center" textRotation="90"/>
    </xf>
    <xf numFmtId="0" fontId="33" fillId="13" borderId="0" xfId="0" applyNumberFormat="1" applyFont="1" applyFill="1"/>
    <xf numFmtId="49" fontId="33" fillId="13" borderId="0" xfId="0" applyNumberFormat="1" applyFont="1" applyFill="1"/>
    <xf numFmtId="0" fontId="17" fillId="13" borderId="0" xfId="0" applyFont="1" applyFill="1"/>
    <xf numFmtId="0" fontId="33" fillId="13" borderId="0" xfId="0" applyFont="1" applyFill="1" applyBorder="1" applyAlignment="1">
      <alignment horizontal="left" vertical="center" wrapText="1" indent="1"/>
    </xf>
    <xf numFmtId="0" fontId="33" fillId="13" borderId="0" xfId="0" applyFont="1" applyFill="1" applyBorder="1" applyAlignment="1">
      <alignment horizontal="left" vertical="center" indent="1"/>
    </xf>
    <xf numFmtId="166" fontId="33" fillId="13" borderId="0" xfId="0" applyNumberFormat="1" applyFont="1" applyFill="1" applyBorder="1" applyAlignment="1">
      <alignment horizontal="center" vertical="center"/>
    </xf>
    <xf numFmtId="0" fontId="46" fillId="13" borderId="0" xfId="0" applyFont="1" applyFill="1"/>
    <xf numFmtId="0" fontId="29" fillId="4" borderId="0" xfId="0" applyFont="1" applyFill="1"/>
    <xf numFmtId="0" fontId="33" fillId="13" borderId="0" xfId="0" applyFont="1" applyFill="1"/>
    <xf numFmtId="0" fontId="16" fillId="13" borderId="0" xfId="0" applyFont="1" applyFill="1"/>
    <xf numFmtId="49" fontId="33" fillId="13" borderId="37" xfId="0" applyNumberFormat="1" applyFont="1" applyFill="1" applyBorder="1"/>
    <xf numFmtId="0" fontId="33" fillId="13" borderId="37" xfId="0" applyFont="1" applyFill="1" applyBorder="1"/>
    <xf numFmtId="0" fontId="29" fillId="13" borderId="0" xfId="0" applyFont="1" applyFill="1"/>
    <xf numFmtId="0" fontId="29" fillId="13" borderId="37" xfId="0" applyFont="1" applyFill="1" applyBorder="1"/>
    <xf numFmtId="0" fontId="33" fillId="9" borderId="0" xfId="0" applyFont="1" applyFill="1"/>
    <xf numFmtId="0" fontId="44" fillId="9" borderId="36" xfId="0" applyFont="1" applyFill="1" applyBorder="1" applyAlignment="1">
      <alignment vertical="center" wrapText="1" readingOrder="1"/>
    </xf>
    <xf numFmtId="0" fontId="29" fillId="4" borderId="0" xfId="0" applyFont="1" applyFill="1"/>
    <xf numFmtId="0" fontId="33" fillId="4" borderId="4" xfId="0" applyFont="1" applyFill="1" applyBorder="1" applyAlignment="1">
      <alignment horizontal="center" vertical="center" wrapText="1"/>
    </xf>
    <xf numFmtId="0" fontId="29" fillId="13" borderId="0" xfId="0" applyFont="1" applyFill="1" applyBorder="1"/>
    <xf numFmtId="0" fontId="29" fillId="4" borderId="0" xfId="0" applyFont="1" applyFill="1"/>
    <xf numFmtId="170" fontId="33" fillId="4" borderId="9" xfId="0" applyNumberFormat="1" applyFont="1" applyFill="1" applyBorder="1" applyAlignment="1">
      <alignment horizontal="center" vertical="center"/>
    </xf>
    <xf numFmtId="0" fontId="29" fillId="4" borderId="0" xfId="0" applyFont="1" applyFill="1"/>
    <xf numFmtId="0" fontId="29" fillId="4" borderId="1" xfId="0" applyFont="1" applyFill="1" applyBorder="1"/>
    <xf numFmtId="0" fontId="33" fillId="4" borderId="0" xfId="0" applyFont="1" applyFill="1" applyAlignment="1">
      <alignment wrapText="1"/>
    </xf>
    <xf numFmtId="0" fontId="33" fillId="4" borderId="0" xfId="0" applyFont="1" applyFill="1" applyBorder="1" applyAlignment="1">
      <alignment horizontal="left" vertical="center" wrapText="1"/>
    </xf>
    <xf numFmtId="0" fontId="33" fillId="4" borderId="8" xfId="0" applyFont="1" applyFill="1" applyBorder="1" applyAlignment="1">
      <alignment horizontal="left" vertical="center" wrapText="1" indent="1"/>
    </xf>
    <xf numFmtId="0" fontId="33" fillId="4" borderId="5" xfId="0" applyFont="1" applyFill="1" applyBorder="1" applyAlignment="1">
      <alignment horizontal="left" vertical="center" wrapText="1" indent="1"/>
    </xf>
    <xf numFmtId="0" fontId="46" fillId="4" borderId="0" xfId="0" applyFont="1" applyFill="1"/>
    <xf numFmtId="0" fontId="33" fillId="4" borderId="15" xfId="0" applyFont="1" applyFill="1" applyBorder="1" applyAlignment="1">
      <alignment horizontal="left" vertical="center" wrapText="1" indent="1"/>
    </xf>
    <xf numFmtId="0" fontId="46" fillId="4" borderId="12" xfId="11" applyFont="1" applyFill="1" applyBorder="1" applyAlignment="1">
      <alignment horizontal="left" indent="1"/>
    </xf>
    <xf numFmtId="0" fontId="46" fillId="4" borderId="7" xfId="11" applyFont="1" applyFill="1" applyBorder="1" applyAlignment="1">
      <alignment horizontal="left" indent="1"/>
    </xf>
    <xf numFmtId="0" fontId="46" fillId="4" borderId="11" xfId="11" applyFont="1" applyFill="1" applyBorder="1" applyAlignment="1">
      <alignment horizontal="left" indent="1"/>
    </xf>
    <xf numFmtId="0" fontId="18" fillId="4" borderId="9" xfId="0" applyFont="1" applyFill="1" applyBorder="1" applyAlignment="1">
      <alignment horizontal="left" vertical="center" indent="1"/>
    </xf>
    <xf numFmtId="0" fontId="18" fillId="4" borderId="10" xfId="0" applyFont="1" applyFill="1" applyBorder="1" applyAlignment="1">
      <alignment horizontal="left" vertical="center" indent="1"/>
    </xf>
    <xf numFmtId="0" fontId="49" fillId="4" borderId="0" xfId="0" applyFont="1" applyFill="1"/>
    <xf numFmtId="0" fontId="33" fillId="4" borderId="0" xfId="0" applyFont="1" applyFill="1" applyAlignment="1">
      <alignment horizontal="left"/>
    </xf>
    <xf numFmtId="0" fontId="50" fillId="10" borderId="0" xfId="0" applyFont="1" applyFill="1" applyAlignment="1">
      <alignment vertical="center"/>
    </xf>
    <xf numFmtId="0" fontId="46" fillId="4" borderId="8" xfId="0" applyFont="1" applyFill="1" applyBorder="1" applyAlignment="1">
      <alignment horizontal="center" vertical="center"/>
    </xf>
    <xf numFmtId="0" fontId="51" fillId="9" borderId="35" xfId="8" applyNumberFormat="1" applyFont="1" applyFill="1" applyBorder="1" applyAlignment="1">
      <alignment horizontal="center" vertical="center"/>
    </xf>
    <xf numFmtId="0" fontId="16" fillId="4" borderId="0" xfId="0" applyFont="1" applyFill="1" applyBorder="1" applyAlignment="1">
      <alignment vertical="center"/>
    </xf>
    <xf numFmtId="6" fontId="52" fillId="4" borderId="0" xfId="0" applyNumberFormat="1" applyFont="1" applyFill="1" applyBorder="1" applyAlignment="1">
      <alignment horizontal="center" vertical="center"/>
    </xf>
    <xf numFmtId="6" fontId="18" fillId="4" borderId="0" xfId="0" applyNumberFormat="1" applyFont="1" applyFill="1" applyBorder="1" applyAlignment="1">
      <alignment horizontal="center" vertical="center"/>
    </xf>
    <xf numFmtId="0" fontId="18" fillId="4" borderId="0" xfId="0" applyFont="1" applyFill="1" applyBorder="1" applyAlignment="1">
      <alignment horizontal="left" vertical="center" indent="1"/>
    </xf>
    <xf numFmtId="0" fontId="18" fillId="4" borderId="8" xfId="0" applyFont="1" applyFill="1" applyBorder="1" applyAlignment="1">
      <alignment horizontal="left" vertical="center" indent="1"/>
    </xf>
    <xf numFmtId="170" fontId="33" fillId="4" borderId="16"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5" xfId="0" applyNumberFormat="1" applyFont="1" applyFill="1" applyBorder="1" applyAlignment="1">
      <alignment horizontal="center" vertical="center"/>
    </xf>
    <xf numFmtId="0" fontId="46" fillId="4" borderId="0" xfId="11" applyFont="1" applyFill="1" applyBorder="1" applyAlignment="1">
      <alignment horizontal="left" indent="1"/>
    </xf>
    <xf numFmtId="170" fontId="46" fillId="4" borderId="0" xfId="8" applyNumberFormat="1" applyFont="1" applyFill="1" applyBorder="1" applyAlignment="1">
      <alignment horizontal="center"/>
    </xf>
    <xf numFmtId="0" fontId="33" fillId="4" borderId="44" xfId="0" applyFont="1" applyFill="1" applyBorder="1" applyAlignment="1">
      <alignment horizontal="center" vertical="center" textRotation="90"/>
    </xf>
    <xf numFmtId="170" fontId="33" fillId="4" borderId="0" xfId="8" applyNumberFormat="1" applyFont="1" applyFill="1" applyBorder="1" applyAlignment="1">
      <alignment horizontal="center"/>
    </xf>
    <xf numFmtId="0" fontId="33" fillId="4" borderId="0" xfId="11" applyFont="1" applyFill="1" applyBorder="1" applyAlignment="1">
      <alignment horizontal="left" indent="1"/>
    </xf>
    <xf numFmtId="0" fontId="29" fillId="4" borderId="0" xfId="0" applyFont="1" applyFill="1"/>
    <xf numFmtId="166" fontId="40" fillId="4" borderId="0" xfId="8" applyNumberFormat="1" applyFont="1" applyFill="1" applyBorder="1" applyAlignment="1"/>
    <xf numFmtId="0" fontId="33" fillId="4" borderId="0" xfId="0" applyFont="1" applyFill="1" applyAlignment="1">
      <alignment vertical="center"/>
    </xf>
    <xf numFmtId="0" fontId="29" fillId="4" borderId="0" xfId="0" applyFont="1" applyFill="1"/>
    <xf numFmtId="0" fontId="33" fillId="4" borderId="0" xfId="0" applyFont="1" applyFill="1" applyBorder="1" applyAlignment="1">
      <alignment horizontal="left" vertical="center" indent="1"/>
    </xf>
    <xf numFmtId="0" fontId="53" fillId="9" borderId="45" xfId="0" applyFont="1" applyFill="1" applyBorder="1" applyAlignment="1">
      <alignment horizontal="center" vertical="center" wrapText="1" readingOrder="1"/>
    </xf>
    <xf numFmtId="0" fontId="20" fillId="15" borderId="46" xfId="0" applyFont="1" applyFill="1" applyBorder="1" applyAlignment="1">
      <alignment horizontal="center" vertical="center" wrapText="1"/>
    </xf>
    <xf numFmtId="0" fontId="33" fillId="4" borderId="0" xfId="0" applyFont="1" applyFill="1" applyBorder="1" applyAlignment="1">
      <alignment horizontal="center" vertical="center"/>
    </xf>
    <xf numFmtId="0" fontId="16" fillId="4" borderId="0" xfId="0" applyFont="1" applyFill="1" applyAlignment="1">
      <alignment horizontal="left" vertical="center"/>
    </xf>
    <xf numFmtId="0" fontId="33" fillId="4" borderId="0" xfId="0" applyFont="1" applyFill="1" applyAlignment="1">
      <alignment horizontal="left" vertical="center"/>
    </xf>
    <xf numFmtId="0" fontId="18" fillId="4" borderId="9" xfId="0" applyNumberFormat="1" applyFont="1" applyFill="1" applyBorder="1" applyAlignment="1">
      <alignment horizontal="center" vertical="center"/>
    </xf>
    <xf numFmtId="49" fontId="33" fillId="4" borderId="16" xfId="0" applyNumberFormat="1" applyFont="1" applyFill="1" applyBorder="1" applyAlignment="1">
      <alignment horizontal="center" vertical="center"/>
    </xf>
    <xf numFmtId="49" fontId="33" fillId="4" borderId="8" xfId="0" applyNumberFormat="1" applyFont="1" applyFill="1" applyBorder="1" applyAlignment="1">
      <alignment horizontal="center" vertical="center"/>
    </xf>
    <xf numFmtId="49" fontId="33" fillId="4" borderId="9" xfId="0" applyNumberFormat="1" applyFont="1" applyFill="1" applyBorder="1" applyAlignment="1">
      <alignment horizontal="center" vertical="center"/>
    </xf>
    <xf numFmtId="49" fontId="33" fillId="4" borderId="4" xfId="0" applyNumberFormat="1" applyFont="1" applyFill="1" applyBorder="1" applyAlignment="1">
      <alignment horizontal="center" vertical="center"/>
    </xf>
    <xf numFmtId="10" fontId="18" fillId="4" borderId="9" xfId="0" applyNumberFormat="1" applyFont="1" applyFill="1" applyBorder="1" applyAlignment="1">
      <alignment horizontal="center" vertical="center"/>
    </xf>
    <xf numFmtId="49" fontId="33" fillId="4" borderId="5" xfId="0" applyNumberFormat="1" applyFont="1" applyFill="1" applyBorder="1" applyAlignment="1">
      <alignment horizontal="center" vertical="center"/>
    </xf>
    <xf numFmtId="49" fontId="33" fillId="4" borderId="0" xfId="0" applyNumberFormat="1" applyFont="1" applyFill="1" applyBorder="1" applyAlignment="1">
      <alignment horizontal="center" vertical="center"/>
    </xf>
    <xf numFmtId="0" fontId="21" fillId="0" borderId="10" xfId="0" applyFont="1" applyBorder="1" applyAlignment="1">
      <alignment horizontal="center" vertical="center"/>
    </xf>
    <xf numFmtId="0" fontId="21" fillId="0" borderId="15" xfId="0" applyFont="1" applyBorder="1" applyAlignment="1">
      <alignment horizontal="center" vertical="center"/>
    </xf>
    <xf numFmtId="0" fontId="21" fillId="0" borderId="15" xfId="0" applyFont="1" applyBorder="1" applyAlignment="1">
      <alignment horizontal="center" vertical="center" wrapText="1"/>
    </xf>
    <xf numFmtId="0" fontId="44" fillId="15" borderId="47" xfId="0" applyFont="1" applyFill="1" applyBorder="1" applyAlignment="1">
      <alignment horizontal="center" vertical="center"/>
    </xf>
    <xf numFmtId="0" fontId="44" fillId="15" borderId="48" xfId="0" applyFont="1" applyFill="1" applyBorder="1" applyAlignment="1">
      <alignment horizontal="center" vertical="center" wrapText="1"/>
    </xf>
    <xf numFmtId="0" fontId="44" fillId="15" borderId="49" xfId="0" applyFont="1" applyFill="1" applyBorder="1" applyAlignment="1">
      <alignment horizontal="center" vertical="center"/>
    </xf>
    <xf numFmtId="0" fontId="51" fillId="9" borderId="41" xfId="0" applyFont="1" applyFill="1" applyBorder="1" applyAlignment="1">
      <alignment horizontal="left" vertical="center" indent="1"/>
    </xf>
    <xf numFmtId="0" fontId="18" fillId="13" borderId="26" xfId="0" applyNumberFormat="1" applyFont="1" applyFill="1" applyBorder="1" applyAlignment="1" applyProtection="1">
      <alignment vertical="center" wrapText="1"/>
    </xf>
    <xf numFmtId="0" fontId="18" fillId="13" borderId="38" xfId="0" applyNumberFormat="1" applyFont="1" applyFill="1" applyBorder="1" applyAlignment="1" applyProtection="1">
      <alignment vertical="center" wrapText="1"/>
    </xf>
    <xf numFmtId="0" fontId="18" fillId="13" borderId="26" xfId="0" applyNumberFormat="1" applyFont="1" applyFill="1" applyBorder="1" applyAlignment="1" applyProtection="1">
      <alignment vertical="center"/>
    </xf>
    <xf numFmtId="0" fontId="29" fillId="4" borderId="52" xfId="0" applyFont="1" applyFill="1" applyBorder="1"/>
    <xf numFmtId="3" fontId="33" fillId="4" borderId="1" xfId="0" applyNumberFormat="1" applyFont="1" applyFill="1" applyBorder="1" applyAlignment="1">
      <alignment horizontal="right" vertical="center" wrapText="1" indent="1"/>
    </xf>
    <xf numFmtId="3" fontId="33" fillId="4" borderId="11" xfId="0" applyNumberFormat="1" applyFont="1" applyFill="1" applyBorder="1" applyAlignment="1">
      <alignment horizontal="right" vertical="center" wrapText="1" indent="1"/>
    </xf>
    <xf numFmtId="9" fontId="46" fillId="4" borderId="0" xfId="0" applyNumberFormat="1" applyFont="1" applyFill="1" applyBorder="1" applyAlignment="1">
      <alignment horizontal="left" vertical="center"/>
    </xf>
    <xf numFmtId="0" fontId="45" fillId="5" borderId="2" xfId="0" applyFont="1" applyFill="1" applyBorder="1" applyAlignment="1">
      <alignment horizontal="right" vertical="center"/>
    </xf>
    <xf numFmtId="0" fontId="29" fillId="4" borderId="0" xfId="0" applyFont="1" applyFill="1" applyBorder="1"/>
    <xf numFmtId="0" fontId="44" fillId="9" borderId="41" xfId="0" applyFont="1" applyFill="1" applyBorder="1" applyAlignment="1">
      <alignment horizontal="left" vertical="center" indent="1"/>
    </xf>
    <xf numFmtId="0" fontId="29" fillId="4" borderId="0" xfId="0" applyFont="1" applyFill="1"/>
    <xf numFmtId="0" fontId="0" fillId="4" borderId="0" xfId="0" applyFill="1"/>
    <xf numFmtId="0" fontId="4" fillId="4" borderId="0" xfId="0" applyFont="1" applyFill="1" applyAlignment="1">
      <alignment vertical="center" wrapText="1"/>
    </xf>
    <xf numFmtId="0" fontId="29" fillId="5" borderId="2" xfId="0" applyFont="1" applyFill="1" applyBorder="1"/>
    <xf numFmtId="0" fontId="48" fillId="4" borderId="0" xfId="0" applyFont="1" applyFill="1"/>
    <xf numFmtId="0" fontId="46" fillId="4" borderId="0" xfId="0" applyFont="1" applyFill="1" applyBorder="1" applyAlignment="1">
      <alignment horizontal="left" vertical="center"/>
    </xf>
    <xf numFmtId="170" fontId="18" fillId="4" borderId="16" xfId="0" applyNumberFormat="1" applyFont="1" applyFill="1" applyBorder="1" applyAlignment="1">
      <alignment horizontal="center" vertical="center"/>
    </xf>
    <xf numFmtId="0" fontId="33" fillId="4" borderId="57" xfId="0" applyFont="1" applyFill="1" applyBorder="1" applyAlignment="1">
      <alignment horizontal="left" vertical="center" wrapText="1" indent="1"/>
    </xf>
    <xf numFmtId="0" fontId="46" fillId="4" borderId="9" xfId="0" applyFont="1" applyFill="1" applyBorder="1" applyAlignment="1">
      <alignment horizontal="center" vertical="center"/>
    </xf>
    <xf numFmtId="0" fontId="0" fillId="5" borderId="0" xfId="0" applyFill="1"/>
    <xf numFmtId="0" fontId="56" fillId="5" borderId="0" xfId="0" applyFont="1" applyFill="1"/>
    <xf numFmtId="0" fontId="0" fillId="4" borderId="1" xfId="0" applyFill="1" applyBorder="1"/>
    <xf numFmtId="0" fontId="51" fillId="9" borderId="50" xfId="0" applyFont="1" applyFill="1" applyBorder="1" applyAlignment="1">
      <alignment horizontal="left" vertical="center" indent="1"/>
    </xf>
    <xf numFmtId="0" fontId="33" fillId="4" borderId="0" xfId="0" applyFont="1" applyFill="1"/>
    <xf numFmtId="0" fontId="59" fillId="4" borderId="0" xfId="0" applyFont="1" applyFill="1" applyBorder="1" applyAlignment="1">
      <alignment horizontal="left" vertical="center"/>
    </xf>
    <xf numFmtId="0" fontId="59" fillId="4" borderId="0" xfId="0" applyFont="1" applyFill="1"/>
    <xf numFmtId="0" fontId="42" fillId="7" borderId="0" xfId="0" applyNumberFormat="1" applyFont="1" applyFill="1" applyBorder="1" applyAlignment="1">
      <alignment horizontal="center" vertical="center" wrapText="1"/>
    </xf>
    <xf numFmtId="0" fontId="29" fillId="4" borderId="0" xfId="0" applyFont="1" applyFill="1" applyBorder="1" applyAlignment="1">
      <alignment horizontal="center" vertical="center"/>
    </xf>
    <xf numFmtId="0" fontId="32" fillId="4" borderId="0" xfId="0" applyFont="1" applyFill="1" applyBorder="1" applyAlignment="1">
      <alignment horizontal="center" vertical="center" wrapText="1"/>
    </xf>
    <xf numFmtId="6" fontId="29" fillId="4" borderId="0" xfId="0" applyNumberFormat="1" applyFont="1" applyFill="1" applyBorder="1" applyAlignment="1">
      <alignment horizontal="center" vertical="center"/>
    </xf>
    <xf numFmtId="0" fontId="6" fillId="4" borderId="0" xfId="0" applyFont="1" applyFill="1" applyBorder="1" applyAlignment="1">
      <alignment horizontal="left" vertical="center" indent="1"/>
    </xf>
    <xf numFmtId="0" fontId="41" fillId="4" borderId="0" xfId="0" applyFont="1" applyFill="1" applyBorder="1" applyAlignment="1">
      <alignment horizontal="left" vertical="center" wrapText="1"/>
    </xf>
    <xf numFmtId="0" fontId="6" fillId="4" borderId="0" xfId="0" applyFont="1" applyFill="1" applyBorder="1" applyAlignment="1">
      <alignment horizontal="left" vertical="center" wrapText="1" indent="1"/>
    </xf>
    <xf numFmtId="0" fontId="4" fillId="4" borderId="0" xfId="0" applyFont="1" applyFill="1" applyAlignment="1">
      <alignment horizontal="right" vertical="center" wrapText="1"/>
    </xf>
    <xf numFmtId="0" fontId="44" fillId="9" borderId="0" xfId="0" applyFont="1" applyFill="1" applyBorder="1" applyAlignment="1">
      <alignment horizontal="center" vertical="center"/>
    </xf>
    <xf numFmtId="0" fontId="44" fillId="9" borderId="36" xfId="0" applyFont="1" applyFill="1" applyBorder="1" applyAlignment="1">
      <alignment horizontal="center" vertical="center"/>
    </xf>
    <xf numFmtId="0" fontId="44" fillId="9" borderId="35" xfId="0" applyFont="1" applyFill="1" applyBorder="1" applyAlignment="1">
      <alignment horizontal="center" vertical="center"/>
    </xf>
    <xf numFmtId="170" fontId="33" fillId="4" borderId="6" xfId="0" applyNumberFormat="1" applyFont="1" applyFill="1" applyBorder="1" applyAlignment="1">
      <alignment horizontal="center" vertical="center"/>
    </xf>
    <xf numFmtId="0" fontId="46" fillId="4" borderId="12" xfId="0" applyFont="1" applyFill="1" applyBorder="1" applyAlignment="1">
      <alignment horizontal="center" vertical="center"/>
    </xf>
    <xf numFmtId="0" fontId="33" fillId="4" borderId="1" xfId="0" applyFont="1" applyFill="1" applyBorder="1" applyAlignment="1">
      <alignment horizontal="center" vertical="center" wrapText="1"/>
    </xf>
    <xf numFmtId="0" fontId="44" fillId="9" borderId="0" xfId="0" applyFont="1" applyFill="1" applyBorder="1" applyAlignment="1">
      <alignment horizontal="center" vertical="center" wrapText="1"/>
    </xf>
    <xf numFmtId="0" fontId="44" fillId="9" borderId="35" xfId="0" applyFont="1" applyFill="1" applyBorder="1" applyAlignment="1">
      <alignment horizontal="center" vertical="center" wrapText="1"/>
    </xf>
    <xf numFmtId="0" fontId="33" fillId="4" borderId="23" xfId="0" applyFont="1" applyFill="1" applyBorder="1" applyAlignment="1">
      <alignment horizontal="left" vertical="center" wrapText="1" indent="1"/>
    </xf>
    <xf numFmtId="0" fontId="7" fillId="4" borderId="0" xfId="0" applyFont="1" applyFill="1" applyBorder="1" applyAlignment="1">
      <alignment horizontal="center" vertical="center"/>
    </xf>
    <xf numFmtId="0" fontId="44" fillId="9" borderId="47" xfId="0" applyFont="1" applyFill="1" applyBorder="1" applyAlignment="1">
      <alignment horizontal="center" vertical="center"/>
    </xf>
    <xf numFmtId="0" fontId="18" fillId="4" borderId="0" xfId="0" applyFont="1" applyFill="1" applyBorder="1" applyAlignment="1">
      <alignment horizontal="center" vertical="center"/>
    </xf>
    <xf numFmtId="49" fontId="18" fillId="4" borderId="8" xfId="0" applyNumberFormat="1" applyFont="1" applyFill="1" applyBorder="1" applyAlignment="1">
      <alignment horizontal="center" vertical="center"/>
    </xf>
    <xf numFmtId="49" fontId="18" fillId="4" borderId="9" xfId="0" applyNumberFormat="1" applyFont="1" applyFill="1" applyBorder="1" applyAlignment="1">
      <alignment horizontal="center" vertical="center"/>
    </xf>
    <xf numFmtId="0" fontId="2" fillId="4" borderId="0" xfId="0" applyNumberFormat="1" applyFont="1" applyFill="1" applyBorder="1" applyAlignment="1">
      <alignment horizontal="left" vertical="center" wrapText="1"/>
    </xf>
    <xf numFmtId="0" fontId="54" fillId="9" borderId="36" xfId="0" applyFont="1" applyFill="1" applyBorder="1" applyAlignment="1">
      <alignment horizontal="center" vertical="center" wrapText="1"/>
    </xf>
    <xf numFmtId="0" fontId="3" fillId="4" borderId="0" xfId="0" applyNumberFormat="1" applyFont="1" applyFill="1" applyBorder="1" applyAlignment="1">
      <alignment horizontal="left" vertical="center" wrapText="1"/>
    </xf>
    <xf numFmtId="0" fontId="8" fillId="4" borderId="0" xfId="0" applyFont="1" applyFill="1" applyAlignment="1">
      <alignment horizontal="left" vertical="top" wrapText="1"/>
    </xf>
    <xf numFmtId="6" fontId="2" fillId="4" borderId="0" xfId="0" applyNumberFormat="1" applyFont="1" applyFill="1" applyBorder="1" applyAlignment="1">
      <alignment horizontal="center" vertical="center" wrapText="1"/>
    </xf>
    <xf numFmtId="0" fontId="33" fillId="4" borderId="0" xfId="0" applyFont="1" applyFill="1" applyAlignment="1"/>
    <xf numFmtId="0" fontId="42" fillId="7" borderId="0" xfId="0" applyNumberFormat="1" applyFont="1" applyFill="1" applyBorder="1" applyAlignment="1">
      <alignment horizontal="center" vertical="center" wrapText="1"/>
    </xf>
    <xf numFmtId="170" fontId="33" fillId="13" borderId="12" xfId="0" applyNumberFormat="1" applyFont="1" applyFill="1" applyBorder="1" applyAlignment="1">
      <alignment horizontal="center" vertical="center"/>
    </xf>
    <xf numFmtId="170" fontId="33" fillId="4" borderId="17" xfId="0" applyNumberFormat="1" applyFont="1" applyFill="1" applyBorder="1" applyAlignment="1">
      <alignment horizontal="center" vertical="center"/>
    </xf>
    <xf numFmtId="0" fontId="18" fillId="4" borderId="17"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9" xfId="0" applyFont="1" applyFill="1" applyBorder="1" applyAlignment="1">
      <alignment horizontal="center" vertical="center"/>
    </xf>
    <xf numFmtId="166" fontId="33" fillId="13" borderId="37" xfId="0" applyNumberFormat="1" applyFont="1" applyFill="1" applyBorder="1" applyAlignment="1">
      <alignment horizontal="center" vertical="center"/>
    </xf>
    <xf numFmtId="0" fontId="33" fillId="0" borderId="51" xfId="0" applyFont="1" applyFill="1" applyBorder="1" applyAlignment="1">
      <alignment horizontal="center" vertical="center" textRotation="90"/>
    </xf>
    <xf numFmtId="0" fontId="0" fillId="0" borderId="51" xfId="0" applyBorder="1"/>
    <xf numFmtId="0" fontId="29" fillId="4" borderId="51" xfId="0" applyFont="1" applyFill="1" applyBorder="1"/>
    <xf numFmtId="0" fontId="0" fillId="0" borderId="84" xfId="0" applyBorder="1"/>
    <xf numFmtId="0" fontId="60" fillId="0" borderId="0" xfId="0" applyFont="1"/>
    <xf numFmtId="0" fontId="44" fillId="9" borderId="65" xfId="0" applyFont="1" applyFill="1" applyBorder="1" applyAlignment="1">
      <alignment horizontal="center" vertical="center"/>
    </xf>
    <xf numFmtId="0" fontId="18" fillId="4" borderId="0" xfId="0" applyFont="1" applyFill="1" applyBorder="1" applyAlignment="1">
      <alignment horizontal="center" vertical="center"/>
    </xf>
    <xf numFmtId="170" fontId="18" fillId="4" borderId="82" xfId="0" applyNumberFormat="1" applyFont="1" applyFill="1" applyBorder="1" applyAlignment="1">
      <alignment horizontal="center" vertical="center"/>
    </xf>
    <xf numFmtId="0" fontId="33" fillId="4" borderId="0" xfId="0" applyFont="1" applyFill="1" applyBorder="1" applyAlignment="1">
      <alignment horizontal="left" vertical="center" wrapText="1" indent="1"/>
    </xf>
    <xf numFmtId="0" fontId="33" fillId="4" borderId="53" xfId="0" applyFont="1" applyFill="1" applyBorder="1" applyAlignment="1">
      <alignment horizontal="left" vertical="center" wrapText="1" indent="1"/>
    </xf>
    <xf numFmtId="0" fontId="61" fillId="4" borderId="0" xfId="0" applyFont="1" applyFill="1" applyBorder="1" applyAlignment="1">
      <alignment vertical="center"/>
    </xf>
    <xf numFmtId="0" fontId="62" fillId="4" borderId="0" xfId="0" applyFont="1" applyFill="1" applyBorder="1" applyAlignment="1">
      <alignment horizontal="left" vertical="center"/>
    </xf>
    <xf numFmtId="0" fontId="18" fillId="4" borderId="9" xfId="0" applyFont="1" applyFill="1" applyBorder="1" applyAlignment="1">
      <alignment horizontal="left" vertical="center" wrapText="1" indent="1"/>
    </xf>
    <xf numFmtId="0" fontId="18" fillId="4" borderId="5" xfId="0" applyFont="1" applyFill="1" applyBorder="1" applyAlignment="1">
      <alignment horizontal="left" vertical="center" wrapText="1" indent="1"/>
    </xf>
    <xf numFmtId="0" fontId="44" fillId="9" borderId="0" xfId="0" applyFont="1" applyFill="1" applyBorder="1" applyAlignment="1">
      <alignment horizontal="center" vertical="center"/>
    </xf>
    <xf numFmtId="0" fontId="59" fillId="4" borderId="11" xfId="0" applyFont="1" applyFill="1" applyBorder="1" applyAlignment="1">
      <alignment horizontal="left" vertical="center" indent="1"/>
    </xf>
    <xf numFmtId="0" fontId="51" fillId="4" borderId="0" xfId="0" applyFont="1" applyFill="1" applyBorder="1" applyAlignment="1">
      <alignment horizontal="center" vertical="center"/>
    </xf>
    <xf numFmtId="170" fontId="46" fillId="4" borderId="0" xfId="0" applyNumberFormat="1" applyFont="1" applyFill="1" applyBorder="1" applyAlignment="1">
      <alignment horizontal="right" vertical="center" indent="2"/>
    </xf>
    <xf numFmtId="170" fontId="46" fillId="4" borderId="26" xfId="0" applyNumberFormat="1" applyFont="1" applyFill="1" applyBorder="1" applyAlignment="1">
      <alignment horizontal="right" vertical="center" indent="1"/>
    </xf>
    <xf numFmtId="0" fontId="33" fillId="13" borderId="33" xfId="0" applyFont="1" applyFill="1" applyBorder="1" applyAlignment="1">
      <alignment horizontal="left" vertical="center" wrapText="1" indent="1"/>
    </xf>
    <xf numFmtId="0" fontId="33" fillId="13" borderId="28" xfId="0" applyFont="1" applyFill="1" applyBorder="1" applyAlignment="1">
      <alignment horizontal="left" vertical="center" wrapText="1" indent="1"/>
    </xf>
    <xf numFmtId="0" fontId="33" fillId="13" borderId="2" xfId="0" applyFont="1" applyFill="1" applyBorder="1" applyAlignment="1">
      <alignment horizontal="left" vertical="center" wrapText="1" indent="1"/>
    </xf>
    <xf numFmtId="0" fontId="33" fillId="13" borderId="11" xfId="0" applyFont="1" applyFill="1" applyBorder="1" applyAlignment="1">
      <alignment horizontal="left" vertical="center" wrapText="1" indent="1"/>
    </xf>
    <xf numFmtId="0" fontId="33" fillId="13" borderId="21" xfId="0" applyFont="1" applyFill="1" applyBorder="1" applyAlignment="1">
      <alignment horizontal="left" vertical="center" wrapText="1" indent="1"/>
    </xf>
    <xf numFmtId="0" fontId="33" fillId="13" borderId="7" xfId="0" applyFont="1" applyFill="1" applyBorder="1" applyAlignment="1">
      <alignment horizontal="left" vertical="center" wrapText="1" indent="1"/>
    </xf>
    <xf numFmtId="0" fontId="33" fillId="13" borderId="2" xfId="7" applyFont="1" applyFill="1" applyBorder="1" applyAlignment="1">
      <alignment horizontal="left" vertical="center" wrapText="1" indent="1"/>
    </xf>
    <xf numFmtId="0" fontId="33" fillId="13" borderId="11" xfId="7" applyFont="1" applyFill="1" applyBorder="1" applyAlignment="1">
      <alignment horizontal="left" vertical="center" wrapText="1" indent="1"/>
    </xf>
    <xf numFmtId="0" fontId="33" fillId="13" borderId="33" xfId="7" applyFont="1" applyFill="1" applyBorder="1" applyAlignment="1">
      <alignment horizontal="left" vertical="center" wrapText="1" indent="1"/>
    </xf>
    <xf numFmtId="0" fontId="33" fillId="13" borderId="28" xfId="7" applyFont="1" applyFill="1" applyBorder="1" applyAlignment="1">
      <alignment horizontal="left" vertical="center" wrapText="1" indent="1"/>
    </xf>
    <xf numFmtId="0" fontId="33" fillId="13" borderId="21" xfId="7" applyFont="1" applyFill="1" applyBorder="1" applyAlignment="1">
      <alignment horizontal="left" vertical="center" wrapText="1" indent="1"/>
    </xf>
    <xf numFmtId="0" fontId="33" fillId="13" borderId="7" xfId="7" applyFont="1" applyFill="1" applyBorder="1" applyAlignment="1">
      <alignment horizontal="left" vertical="center" wrapText="1" indent="1"/>
    </xf>
    <xf numFmtId="0" fontId="33" fillId="4" borderId="0" xfId="0" applyFont="1" applyFill="1" applyAlignment="1">
      <alignment horizontal="left" wrapText="1"/>
    </xf>
    <xf numFmtId="170" fontId="18" fillId="4" borderId="20" xfId="0" applyNumberFormat="1" applyFont="1" applyFill="1" applyBorder="1" applyAlignment="1">
      <alignment horizontal="center" vertical="center"/>
    </xf>
    <xf numFmtId="170" fontId="33" fillId="4" borderId="6" xfId="0" applyNumberFormat="1" applyFont="1" applyFill="1" applyBorder="1" applyAlignment="1">
      <alignment horizontal="center" vertical="center"/>
    </xf>
    <xf numFmtId="170" fontId="33" fillId="4" borderId="6" xfId="0" applyNumberFormat="1" applyFont="1" applyFill="1" applyBorder="1" applyAlignment="1">
      <alignment horizontal="center" vertical="center"/>
    </xf>
    <xf numFmtId="0" fontId="44" fillId="9" borderId="50" xfId="0" applyFont="1" applyFill="1" applyBorder="1" applyAlignment="1">
      <alignment horizontal="left" vertical="center" wrapText="1" indent="1"/>
    </xf>
    <xf numFmtId="0" fontId="29" fillId="4" borderId="87" xfId="0" applyFont="1" applyFill="1" applyBorder="1"/>
    <xf numFmtId="0" fontId="33" fillId="13" borderId="29" xfId="0" applyFont="1" applyFill="1" applyBorder="1" applyAlignment="1">
      <alignment horizontal="left" vertical="center" wrapText="1" indent="1"/>
    </xf>
    <xf numFmtId="0" fontId="33" fillId="13" borderId="12" xfId="0" applyFont="1" applyFill="1" applyBorder="1" applyAlignment="1">
      <alignment horizontal="left" vertical="center" wrapText="1" indent="1"/>
    </xf>
    <xf numFmtId="170" fontId="46" fillId="13" borderId="6" xfId="0" applyNumberFormat="1" applyFont="1" applyFill="1" applyBorder="1" applyAlignment="1">
      <alignment horizontal="center" vertical="center"/>
    </xf>
    <xf numFmtId="170" fontId="33" fillId="4" borderId="30" xfId="0" applyNumberFormat="1" applyFont="1" applyFill="1" applyBorder="1" applyAlignment="1">
      <alignment horizontal="center" vertical="center"/>
    </xf>
    <xf numFmtId="170" fontId="33" fillId="4" borderId="18" xfId="0" applyNumberFormat="1" applyFont="1" applyFill="1" applyBorder="1" applyAlignment="1">
      <alignment horizontal="center" vertical="center"/>
    </xf>
    <xf numFmtId="170" fontId="33" fillId="13" borderId="19" xfId="0" applyNumberFormat="1" applyFont="1" applyFill="1" applyBorder="1" applyAlignment="1">
      <alignment horizontal="center" vertical="center"/>
    </xf>
    <xf numFmtId="170" fontId="33" fillId="13" borderId="28" xfId="0" applyNumberFormat="1" applyFont="1" applyFill="1" applyBorder="1" applyAlignment="1">
      <alignment horizontal="center" vertical="center"/>
    </xf>
    <xf numFmtId="170" fontId="33" fillId="13" borderId="19" xfId="0" applyNumberFormat="1" applyFont="1" applyFill="1" applyBorder="1" applyAlignment="1">
      <alignment horizontal="center" vertical="center" wrapText="1"/>
    </xf>
    <xf numFmtId="170" fontId="46" fillId="4" borderId="30" xfId="0" applyNumberFormat="1" applyFont="1" applyFill="1" applyBorder="1" applyAlignment="1">
      <alignment horizontal="center" vertical="center" wrapText="1"/>
    </xf>
    <xf numFmtId="170" fontId="33" fillId="13" borderId="6" xfId="0" applyNumberFormat="1" applyFont="1" applyFill="1" applyBorder="1" applyAlignment="1">
      <alignment horizontal="center" vertical="center" wrapText="1"/>
    </xf>
    <xf numFmtId="170" fontId="33" fillId="13" borderId="7" xfId="0" applyNumberFormat="1" applyFont="1" applyFill="1" applyBorder="1" applyAlignment="1">
      <alignment horizontal="center" vertical="center" wrapText="1"/>
    </xf>
    <xf numFmtId="170" fontId="33" fillId="13" borderId="22" xfId="0" applyNumberFormat="1" applyFont="1" applyFill="1" applyBorder="1" applyAlignment="1">
      <alignment horizontal="center" vertical="center" wrapText="1"/>
    </xf>
    <xf numFmtId="170" fontId="33" fillId="13" borderId="13" xfId="0" applyNumberFormat="1" applyFont="1" applyFill="1" applyBorder="1" applyAlignment="1">
      <alignment horizontal="center" vertical="center" wrapText="1"/>
    </xf>
    <xf numFmtId="170" fontId="33" fillId="4" borderId="85" xfId="0" applyNumberFormat="1" applyFont="1" applyFill="1" applyBorder="1" applyAlignment="1">
      <alignment horizontal="center" vertical="center"/>
    </xf>
    <xf numFmtId="170" fontId="33" fillId="4" borderId="30" xfId="0" applyNumberFormat="1" applyFont="1" applyFill="1" applyBorder="1" applyAlignment="1">
      <alignment horizontal="center" vertical="center" wrapText="1"/>
    </xf>
    <xf numFmtId="170" fontId="18" fillId="4" borderId="30" xfId="0" applyNumberFormat="1" applyFont="1" applyFill="1" applyBorder="1" applyAlignment="1">
      <alignment horizontal="center" vertical="center"/>
    </xf>
    <xf numFmtId="170" fontId="46" fillId="4" borderId="30" xfId="0" applyNumberFormat="1" applyFont="1" applyFill="1" applyBorder="1" applyAlignment="1">
      <alignment horizontal="center" vertical="center"/>
    </xf>
    <xf numFmtId="170" fontId="46" fillId="4" borderId="23" xfId="0" applyNumberFormat="1" applyFont="1" applyFill="1" applyBorder="1" applyAlignment="1">
      <alignment horizontal="center" vertical="center"/>
    </xf>
    <xf numFmtId="170" fontId="33" fillId="13" borderId="6" xfId="0" applyNumberFormat="1" applyFont="1" applyFill="1" applyBorder="1" applyAlignment="1">
      <alignment horizontal="center" vertical="center"/>
    </xf>
    <xf numFmtId="170" fontId="33" fillId="13" borderId="7" xfId="0" applyNumberFormat="1" applyFont="1" applyFill="1" applyBorder="1" applyAlignment="1">
      <alignment horizontal="center" vertical="center"/>
    </xf>
    <xf numFmtId="170" fontId="33" fillId="13" borderId="22" xfId="0" applyNumberFormat="1" applyFont="1" applyFill="1" applyBorder="1" applyAlignment="1">
      <alignment horizontal="center" vertical="center"/>
    </xf>
    <xf numFmtId="170" fontId="33" fillId="13" borderId="13" xfId="0" applyNumberFormat="1" applyFont="1" applyFill="1" applyBorder="1" applyAlignment="1">
      <alignment horizontal="center" vertical="center"/>
    </xf>
    <xf numFmtId="0" fontId="55" fillId="9" borderId="35" xfId="0" applyFont="1" applyFill="1" applyBorder="1" applyAlignment="1">
      <alignment horizontal="center" vertical="center" wrapText="1"/>
    </xf>
    <xf numFmtId="0" fontId="55" fillId="9" borderId="56" xfId="0" applyFont="1" applyFill="1" applyBorder="1" applyAlignment="1">
      <alignment horizontal="center" vertical="center" wrapText="1"/>
    </xf>
    <xf numFmtId="0" fontId="44" fillId="9" borderId="0" xfId="0" applyFont="1" applyFill="1" applyBorder="1" applyAlignment="1">
      <alignment horizontal="center" vertical="center" wrapText="1"/>
    </xf>
    <xf numFmtId="170" fontId="67" fillId="4" borderId="43" xfId="0" applyNumberFormat="1" applyFont="1" applyFill="1" applyBorder="1" applyAlignment="1">
      <alignment horizontal="center" vertical="center"/>
    </xf>
    <xf numFmtId="170" fontId="67" fillId="4" borderId="23" xfId="0" applyNumberFormat="1" applyFont="1" applyFill="1" applyBorder="1" applyAlignment="1">
      <alignment horizontal="center" vertical="center"/>
    </xf>
    <xf numFmtId="170" fontId="68" fillId="4" borderId="23" xfId="0" applyNumberFormat="1" applyFont="1" applyFill="1" applyBorder="1" applyAlignment="1">
      <alignment horizontal="center" vertical="center" wrapText="1"/>
    </xf>
    <xf numFmtId="170" fontId="67" fillId="4" borderId="23" xfId="0" applyNumberFormat="1" applyFont="1" applyFill="1" applyBorder="1" applyAlignment="1">
      <alignment horizontal="center" vertical="center" wrapText="1"/>
    </xf>
    <xf numFmtId="170" fontId="68" fillId="4" borderId="23" xfId="0" applyNumberFormat="1" applyFont="1" applyFill="1" applyBorder="1" applyAlignment="1">
      <alignment horizontal="center" vertical="center"/>
    </xf>
    <xf numFmtId="170" fontId="67" fillId="13" borderId="28" xfId="0" applyNumberFormat="1" applyFont="1" applyFill="1" applyBorder="1" applyAlignment="1">
      <alignment horizontal="center" vertical="center"/>
    </xf>
    <xf numFmtId="170" fontId="67" fillId="13" borderId="13" xfId="0" applyNumberFormat="1" applyFont="1" applyFill="1" applyBorder="1" applyAlignment="1">
      <alignment horizontal="center" vertical="center"/>
    </xf>
    <xf numFmtId="170" fontId="67" fillId="13" borderId="28" xfId="0" applyNumberFormat="1" applyFont="1" applyFill="1" applyBorder="1" applyAlignment="1">
      <alignment horizontal="center" vertical="center" wrapText="1"/>
    </xf>
    <xf numFmtId="170" fontId="67" fillId="13" borderId="7" xfId="0" applyNumberFormat="1" applyFont="1" applyFill="1" applyBorder="1" applyAlignment="1">
      <alignment horizontal="center" vertical="center" wrapText="1"/>
    </xf>
    <xf numFmtId="170" fontId="67" fillId="13" borderId="13" xfId="0" applyNumberFormat="1" applyFont="1" applyFill="1" applyBorder="1" applyAlignment="1">
      <alignment horizontal="center" vertical="center" wrapText="1"/>
    </xf>
    <xf numFmtId="170" fontId="67" fillId="13" borderId="7" xfId="0" applyNumberFormat="1" applyFont="1" applyFill="1" applyBorder="1" applyAlignment="1">
      <alignment horizontal="center" vertical="center"/>
    </xf>
    <xf numFmtId="170" fontId="67" fillId="4" borderId="11" xfId="0" applyNumberFormat="1" applyFont="1" applyFill="1" applyBorder="1" applyAlignment="1">
      <alignment horizontal="center" vertical="center"/>
    </xf>
    <xf numFmtId="170" fontId="33" fillId="13" borderId="2" xfId="0" applyNumberFormat="1" applyFont="1" applyFill="1" applyBorder="1" applyAlignment="1">
      <alignment horizontal="center" vertical="center"/>
    </xf>
    <xf numFmtId="0" fontId="41" fillId="5" borderId="2" xfId="0" applyFont="1" applyFill="1" applyBorder="1" applyAlignment="1"/>
    <xf numFmtId="170" fontId="46" fillId="4" borderId="10" xfId="0" applyNumberFormat="1" applyFont="1" applyFill="1" applyBorder="1" applyAlignment="1">
      <alignment horizontal="center" vertical="center"/>
    </xf>
    <xf numFmtId="170" fontId="46" fillId="4" borderId="0" xfId="0" applyNumberFormat="1" applyFont="1" applyFill="1" applyBorder="1" applyAlignment="1">
      <alignment horizontal="right" vertical="center" indent="1"/>
    </xf>
    <xf numFmtId="0" fontId="45" fillId="5" borderId="2" xfId="0" applyFont="1" applyFill="1" applyBorder="1" applyAlignment="1">
      <alignment horizontal="right"/>
    </xf>
    <xf numFmtId="0" fontId="25" fillId="4" borderId="0" xfId="5" applyFill="1" applyBorder="1" applyAlignment="1">
      <alignment horizontal="left" vertical="center"/>
    </xf>
    <xf numFmtId="170" fontId="46" fillId="13" borderId="6" xfId="0" applyNumberFormat="1" applyFont="1" applyFill="1" applyBorder="1" applyAlignment="1">
      <alignment horizontal="center" vertical="center"/>
    </xf>
    <xf numFmtId="170" fontId="33" fillId="13" borderId="19" xfId="0" applyNumberFormat="1" applyFont="1" applyFill="1" applyBorder="1" applyAlignment="1">
      <alignment horizontal="center" vertical="center"/>
    </xf>
    <xf numFmtId="170" fontId="33" fillId="13" borderId="6" xfId="0" applyNumberFormat="1" applyFont="1" applyFill="1" applyBorder="1" applyAlignment="1">
      <alignment horizontal="center" vertical="center"/>
    </xf>
    <xf numFmtId="170" fontId="33" fillId="13" borderId="22" xfId="0" applyNumberFormat="1" applyFont="1" applyFill="1" applyBorder="1" applyAlignment="1">
      <alignment horizontal="center" vertical="center"/>
    </xf>
    <xf numFmtId="170" fontId="67" fillId="13" borderId="28" xfId="0" applyNumberFormat="1" applyFont="1" applyFill="1" applyBorder="1" applyAlignment="1">
      <alignment horizontal="center" vertical="center"/>
    </xf>
    <xf numFmtId="170" fontId="67" fillId="13" borderId="13" xfId="0" applyNumberFormat="1" applyFont="1" applyFill="1" applyBorder="1" applyAlignment="1">
      <alignment horizontal="center" vertical="center"/>
    </xf>
    <xf numFmtId="170" fontId="67" fillId="13" borderId="7" xfId="0" applyNumberFormat="1" applyFont="1" applyFill="1" applyBorder="1" applyAlignment="1">
      <alignment horizontal="center" vertical="center"/>
    </xf>
    <xf numFmtId="0" fontId="0" fillId="4" borderId="0" xfId="0" applyFill="1"/>
    <xf numFmtId="0" fontId="0" fillId="4" borderId="0" xfId="0" applyFill="1" applyBorder="1"/>
    <xf numFmtId="0" fontId="46" fillId="4" borderId="0" xfId="0" applyFont="1" applyFill="1" applyBorder="1" applyAlignment="1">
      <alignment horizontal="center" vertical="center"/>
    </xf>
    <xf numFmtId="0" fontId="59" fillId="4" borderId="0" xfId="0" applyFont="1" applyFill="1" applyBorder="1" applyAlignment="1">
      <alignment horizontal="left" vertical="center" indent="1"/>
    </xf>
    <xf numFmtId="0" fontId="46" fillId="4" borderId="0" xfId="0" applyFont="1" applyFill="1" applyBorder="1" applyAlignment="1">
      <alignment vertical="center"/>
    </xf>
    <xf numFmtId="170" fontId="33" fillId="13" borderId="19" xfId="0" applyNumberFormat="1" applyFont="1" applyFill="1" applyBorder="1" applyAlignment="1">
      <alignment horizontal="center" vertical="center" wrapText="1"/>
    </xf>
    <xf numFmtId="170" fontId="33" fillId="13" borderId="6" xfId="0" applyNumberFormat="1" applyFont="1" applyFill="1" applyBorder="1" applyAlignment="1">
      <alignment horizontal="center" vertical="center" wrapText="1"/>
    </xf>
    <xf numFmtId="170" fontId="33" fillId="13" borderId="22" xfId="0" applyNumberFormat="1" applyFont="1" applyFill="1" applyBorder="1" applyAlignment="1">
      <alignment horizontal="center" vertical="center" wrapText="1"/>
    </xf>
    <xf numFmtId="170" fontId="67" fillId="13" borderId="28" xfId="0" applyNumberFormat="1" applyFont="1" applyFill="1" applyBorder="1" applyAlignment="1">
      <alignment horizontal="center" vertical="center" wrapText="1"/>
    </xf>
    <xf numFmtId="170" fontId="67" fillId="13" borderId="7" xfId="0" applyNumberFormat="1" applyFont="1" applyFill="1" applyBorder="1" applyAlignment="1">
      <alignment horizontal="center" vertical="center" wrapText="1"/>
    </xf>
    <xf numFmtId="170" fontId="33" fillId="4" borderId="20" xfId="0" applyNumberFormat="1" applyFont="1" applyFill="1" applyBorder="1" applyAlignment="1">
      <alignment horizontal="center" vertical="center"/>
    </xf>
    <xf numFmtId="170" fontId="46" fillId="4" borderId="0" xfId="0" applyNumberFormat="1" applyFont="1" applyFill="1" applyBorder="1" applyAlignment="1">
      <alignment horizontal="center" vertical="center"/>
    </xf>
    <xf numFmtId="0" fontId="46" fillId="4" borderId="5" xfId="0" applyFont="1" applyFill="1" applyBorder="1" applyAlignment="1">
      <alignment horizontal="center" vertical="center"/>
    </xf>
    <xf numFmtId="170" fontId="51" fillId="23" borderId="88" xfId="0" applyNumberFormat="1" applyFont="1" applyFill="1" applyBorder="1" applyAlignment="1">
      <alignment horizontal="center" vertical="center"/>
    </xf>
    <xf numFmtId="0" fontId="44" fillId="9" borderId="0" xfId="0" applyFont="1" applyFill="1" applyBorder="1" applyAlignment="1">
      <alignment horizontal="center" vertical="center" wrapText="1"/>
    </xf>
    <xf numFmtId="0" fontId="55" fillId="9" borderId="35" xfId="0" applyFont="1" applyFill="1" applyBorder="1" applyAlignment="1">
      <alignment horizontal="center" vertical="center" wrapText="1"/>
    </xf>
    <xf numFmtId="0" fontId="29" fillId="9" borderId="0" xfId="0" applyFont="1" applyFill="1"/>
    <xf numFmtId="0" fontId="10" fillId="9" borderId="35" xfId="0" applyFont="1" applyFill="1" applyBorder="1" applyAlignment="1">
      <alignment vertical="center"/>
    </xf>
    <xf numFmtId="170" fontId="18" fillId="4" borderId="18" xfId="0" applyNumberFormat="1" applyFont="1" applyFill="1" applyBorder="1" applyAlignment="1">
      <alignment horizontal="center" vertical="center"/>
    </xf>
    <xf numFmtId="170" fontId="18" fillId="4" borderId="91"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0" fontId="33" fillId="4" borderId="11" xfId="0" applyFont="1" applyFill="1" applyBorder="1" applyAlignment="1">
      <alignment horizontal="left" vertical="center" wrapText="1" indent="1"/>
    </xf>
    <xf numFmtId="0" fontId="33" fillId="4" borderId="23" xfId="0" applyFont="1" applyFill="1" applyBorder="1" applyAlignment="1">
      <alignment horizontal="left" vertical="center" wrapText="1" indent="1"/>
    </xf>
    <xf numFmtId="0" fontId="29" fillId="4" borderId="18" xfId="0" applyFont="1" applyFill="1" applyBorder="1" applyAlignment="1">
      <alignment horizontal="center" vertical="center"/>
    </xf>
    <xf numFmtId="0" fontId="29" fillId="4" borderId="2" xfId="0" applyFont="1" applyFill="1" applyBorder="1" applyAlignment="1">
      <alignment horizontal="center" vertical="center"/>
    </xf>
    <xf numFmtId="170" fontId="33" fillId="13" borderId="18" xfId="0" applyNumberFormat="1" applyFont="1" applyFill="1" applyBorder="1" applyAlignment="1">
      <alignment horizontal="center" vertical="center"/>
    </xf>
    <xf numFmtId="170" fontId="33" fillId="13" borderId="33" xfId="0" applyNumberFormat="1" applyFont="1" applyFill="1" applyBorder="1" applyAlignment="1">
      <alignment horizontal="center" vertical="center"/>
    </xf>
    <xf numFmtId="170" fontId="33" fillId="13" borderId="21" xfId="0" applyNumberFormat="1" applyFont="1" applyFill="1" applyBorder="1" applyAlignment="1">
      <alignment horizontal="center" vertical="center"/>
    </xf>
    <xf numFmtId="170" fontId="33" fillId="13" borderId="31" xfId="0" applyNumberFormat="1" applyFont="1" applyFill="1" applyBorder="1" applyAlignment="1">
      <alignment horizontal="center" vertical="center"/>
    </xf>
    <xf numFmtId="0" fontId="69" fillId="4" borderId="11" xfId="0" applyFont="1" applyFill="1" applyBorder="1" applyAlignment="1">
      <alignment horizontal="center" vertical="center"/>
    </xf>
    <xf numFmtId="0" fontId="69" fillId="13" borderId="1" xfId="0" applyFont="1" applyFill="1" applyBorder="1" applyAlignment="1">
      <alignment horizontal="center" vertical="center"/>
    </xf>
    <xf numFmtId="0" fontId="69" fillId="13" borderId="13" xfId="0" applyFont="1" applyFill="1" applyBorder="1" applyAlignment="1">
      <alignment horizontal="center" vertical="center"/>
    </xf>
    <xf numFmtId="0" fontId="69" fillId="4" borderId="1" xfId="0" applyFont="1" applyFill="1" applyBorder="1" applyAlignment="1">
      <alignment horizontal="center" vertical="center"/>
    </xf>
    <xf numFmtId="0" fontId="69" fillId="13" borderId="28" xfId="0" applyFont="1" applyFill="1" applyBorder="1" applyAlignment="1">
      <alignment horizontal="center" vertical="center"/>
    </xf>
    <xf numFmtId="0" fontId="69" fillId="13" borderId="7" xfId="0" applyFont="1" applyFill="1" applyBorder="1" applyAlignment="1">
      <alignment horizontal="center" vertical="center"/>
    </xf>
    <xf numFmtId="0" fontId="69" fillId="13" borderId="11" xfId="0" applyFont="1" applyFill="1" applyBorder="1" applyAlignment="1">
      <alignment horizontal="center" vertical="center"/>
    </xf>
    <xf numFmtId="0" fontId="69" fillId="4" borderId="23" xfId="0" applyFont="1" applyFill="1" applyBorder="1" applyAlignment="1">
      <alignment horizontal="center" vertical="center"/>
    </xf>
    <xf numFmtId="0" fontId="70" fillId="4" borderId="11" xfId="0" applyFont="1" applyFill="1" applyBorder="1" applyAlignment="1">
      <alignment horizontal="center" vertical="center"/>
    </xf>
    <xf numFmtId="0" fontId="70" fillId="13" borderId="1" xfId="0" applyFont="1" applyFill="1" applyBorder="1" applyAlignment="1">
      <alignment horizontal="center" vertical="center"/>
    </xf>
    <xf numFmtId="0" fontId="70" fillId="13" borderId="13" xfId="0" applyFont="1" applyFill="1" applyBorder="1" applyAlignment="1">
      <alignment horizontal="center" vertical="center"/>
    </xf>
    <xf numFmtId="0" fontId="70" fillId="4" borderId="1" xfId="0" applyFont="1" applyFill="1" applyBorder="1" applyAlignment="1">
      <alignment horizontal="center" vertical="center"/>
    </xf>
    <xf numFmtId="0" fontId="70" fillId="13" borderId="28" xfId="0" applyFont="1" applyFill="1" applyBorder="1" applyAlignment="1">
      <alignment horizontal="center" vertical="center"/>
    </xf>
    <xf numFmtId="0" fontId="70" fillId="13" borderId="7" xfId="0" applyFont="1" applyFill="1" applyBorder="1" applyAlignment="1">
      <alignment horizontal="center" vertical="center"/>
    </xf>
    <xf numFmtId="0" fontId="70" fillId="13" borderId="11" xfId="0" applyFont="1" applyFill="1" applyBorder="1" applyAlignment="1">
      <alignment horizontal="center" vertical="center"/>
    </xf>
    <xf numFmtId="0" fontId="71" fillId="4" borderId="11" xfId="0" applyFont="1" applyFill="1" applyBorder="1" applyAlignment="1">
      <alignment horizontal="center" vertical="center"/>
    </xf>
    <xf numFmtId="0" fontId="71" fillId="13" borderId="28" xfId="0" applyFont="1" applyFill="1" applyBorder="1" applyAlignment="1">
      <alignment horizontal="center" vertical="center"/>
    </xf>
    <xf numFmtId="0" fontId="71" fillId="13" borderId="7" xfId="0" applyFont="1" applyFill="1" applyBorder="1" applyAlignment="1">
      <alignment horizontal="center" vertical="center"/>
    </xf>
    <xf numFmtId="0" fontId="71" fillId="13" borderId="11" xfId="0" applyFont="1" applyFill="1" applyBorder="1" applyAlignment="1">
      <alignment horizontal="center" vertical="center"/>
    </xf>
    <xf numFmtId="0" fontId="70" fillId="4" borderId="23" xfId="0" applyFont="1" applyFill="1" applyBorder="1" applyAlignment="1">
      <alignment horizontal="center" vertical="center"/>
    </xf>
    <xf numFmtId="6" fontId="69" fillId="4" borderId="23" xfId="0" applyNumberFormat="1" applyFont="1" applyFill="1" applyBorder="1" applyAlignment="1">
      <alignment horizontal="center" vertical="center"/>
    </xf>
    <xf numFmtId="6" fontId="69" fillId="4" borderId="11" xfId="0" applyNumberFormat="1" applyFont="1" applyFill="1" applyBorder="1" applyAlignment="1">
      <alignment horizontal="center" vertical="center"/>
    </xf>
    <xf numFmtId="6" fontId="69" fillId="13" borderId="28" xfId="0" applyNumberFormat="1" applyFont="1" applyFill="1" applyBorder="1" applyAlignment="1">
      <alignment horizontal="center" vertical="center"/>
    </xf>
    <xf numFmtId="6" fontId="69" fillId="13" borderId="7" xfId="0" applyNumberFormat="1" applyFont="1" applyFill="1" applyBorder="1" applyAlignment="1">
      <alignment horizontal="center" vertical="center"/>
    </xf>
    <xf numFmtId="6" fontId="69" fillId="13" borderId="11" xfId="0" applyNumberFormat="1" applyFont="1" applyFill="1" applyBorder="1" applyAlignment="1">
      <alignment horizontal="center" vertical="center"/>
    </xf>
    <xf numFmtId="6" fontId="69" fillId="13" borderId="1" xfId="0" applyNumberFormat="1" applyFont="1" applyFill="1" applyBorder="1" applyAlignment="1">
      <alignment horizontal="center" vertical="center"/>
    </xf>
    <xf numFmtId="0" fontId="29" fillId="4" borderId="0" xfId="0" applyFont="1" applyFill="1" applyAlignment="1">
      <alignment horizontal="center"/>
    </xf>
    <xf numFmtId="170" fontId="18" fillId="0" borderId="90" xfId="31" applyNumberFormat="1" applyFont="1" applyFill="1" applyBorder="1" applyAlignment="1">
      <alignment horizontal="center" vertical="center"/>
    </xf>
    <xf numFmtId="0" fontId="33" fillId="4" borderId="0" xfId="0" applyFont="1" applyFill="1" applyBorder="1"/>
    <xf numFmtId="0" fontId="68" fillId="4" borderId="2" xfId="0" applyFont="1" applyFill="1" applyBorder="1" applyAlignment="1">
      <alignment horizontal="left" vertical="center" wrapText="1" indent="1"/>
    </xf>
    <xf numFmtId="172" fontId="68" fillId="4" borderId="0" xfId="0" applyNumberFormat="1" applyFont="1" applyFill="1" applyBorder="1" applyAlignment="1">
      <alignment horizontal="center" vertical="center"/>
    </xf>
    <xf numFmtId="0" fontId="33" fillId="4" borderId="87" xfId="0" applyFont="1" applyFill="1" applyBorder="1" applyAlignment="1">
      <alignment vertical="center" textRotation="90"/>
    </xf>
    <xf numFmtId="0" fontId="51" fillId="9" borderId="94" xfId="0" applyFont="1" applyFill="1" applyBorder="1" applyAlignment="1">
      <alignment horizontal="left" vertical="center" wrapText="1" indent="1"/>
    </xf>
    <xf numFmtId="0" fontId="44" fillId="15" borderId="66" xfId="0" applyFont="1" applyFill="1" applyBorder="1" applyAlignment="1">
      <alignment vertical="center" wrapText="1"/>
    </xf>
    <xf numFmtId="0" fontId="44" fillId="15" borderId="35" xfId="0" applyFont="1" applyFill="1" applyBorder="1" applyAlignment="1">
      <alignment vertical="center" wrapText="1"/>
    </xf>
    <xf numFmtId="0" fontId="44" fillId="15" borderId="46" xfId="0" applyFont="1" applyFill="1" applyBorder="1" applyAlignment="1">
      <alignment horizontal="center" vertical="center" wrapText="1"/>
    </xf>
    <xf numFmtId="170" fontId="33" fillId="13" borderId="17" xfId="0" applyNumberFormat="1" applyFont="1" applyFill="1" applyBorder="1" applyAlignment="1">
      <alignment horizontal="center" vertical="center" wrapText="1"/>
    </xf>
    <xf numFmtId="170" fontId="67" fillId="13" borderId="12" xfId="0" applyNumberFormat="1" applyFont="1" applyFill="1" applyBorder="1" applyAlignment="1">
      <alignment horizontal="center" vertical="center" wrapText="1"/>
    </xf>
    <xf numFmtId="170" fontId="33" fillId="13" borderId="17" xfId="0" applyNumberFormat="1" applyFont="1" applyFill="1" applyBorder="1" applyAlignment="1">
      <alignment horizontal="center" vertical="center"/>
    </xf>
    <xf numFmtId="0" fontId="69" fillId="13" borderId="12" xfId="0" applyFont="1" applyFill="1" applyBorder="1" applyAlignment="1">
      <alignment horizontal="center" vertical="center"/>
    </xf>
    <xf numFmtId="0" fontId="70" fillId="13" borderId="12" xfId="0" applyFont="1" applyFill="1" applyBorder="1" applyAlignment="1">
      <alignment horizontal="center" vertical="center"/>
    </xf>
    <xf numFmtId="170" fontId="46" fillId="4" borderId="8" xfId="8" applyNumberFormat="1" applyFont="1" applyFill="1" applyBorder="1" applyAlignment="1">
      <alignment horizontal="center" vertical="center"/>
    </xf>
    <xf numFmtId="170" fontId="46" fillId="4" borderId="12" xfId="8" applyNumberFormat="1" applyFont="1" applyFill="1" applyBorder="1" applyAlignment="1">
      <alignment horizontal="center" vertical="center"/>
    </xf>
    <xf numFmtId="170" fontId="46" fillId="4" borderId="9" xfId="8" applyNumberFormat="1" applyFont="1" applyFill="1" applyBorder="1" applyAlignment="1">
      <alignment horizontal="center" vertical="center"/>
    </xf>
    <xf numFmtId="170" fontId="46" fillId="4" borderId="7" xfId="8" applyNumberFormat="1" applyFont="1" applyFill="1" applyBorder="1" applyAlignment="1">
      <alignment horizontal="center" vertical="center"/>
    </xf>
    <xf numFmtId="170" fontId="46" fillId="4" borderId="10" xfId="8" applyNumberFormat="1" applyFont="1" applyFill="1" applyBorder="1" applyAlignment="1">
      <alignment horizontal="center" vertical="center"/>
    </xf>
    <xf numFmtId="170" fontId="46" fillId="4" borderId="11" xfId="8" applyNumberFormat="1" applyFont="1" applyFill="1" applyBorder="1" applyAlignment="1">
      <alignment horizontal="center" vertical="center"/>
    </xf>
    <xf numFmtId="0" fontId="54" fillId="9" borderId="36" xfId="0" applyFont="1" applyFill="1" applyBorder="1" applyAlignment="1">
      <alignment horizontal="center" vertical="center" wrapText="1"/>
    </xf>
    <xf numFmtId="0" fontId="54" fillId="9" borderId="45" xfId="0" applyFont="1" applyFill="1" applyBorder="1" applyAlignment="1">
      <alignment horizontal="center" vertical="center" wrapText="1"/>
    </xf>
    <xf numFmtId="0" fontId="18" fillId="0" borderId="96" xfId="0" applyFont="1" applyBorder="1" applyAlignment="1">
      <alignment horizontal="left" vertical="center" indent="1"/>
    </xf>
    <xf numFmtId="0" fontId="18" fillId="0" borderId="15" xfId="0" applyFont="1" applyBorder="1" applyAlignment="1">
      <alignment horizontal="left" vertical="center" indent="1"/>
    </xf>
    <xf numFmtId="0" fontId="18" fillId="0" borderId="15" xfId="0" applyFont="1" applyBorder="1" applyAlignment="1">
      <alignment horizontal="left" vertical="center" wrapText="1" indent="1"/>
    </xf>
    <xf numFmtId="0" fontId="18" fillId="4" borderId="15" xfId="0" applyFont="1" applyFill="1" applyBorder="1" applyAlignment="1">
      <alignment horizontal="left" vertical="center" wrapText="1" indent="1"/>
    </xf>
    <xf numFmtId="49" fontId="18" fillId="0" borderId="15" xfId="0" applyNumberFormat="1" applyFont="1" applyBorder="1" applyAlignment="1">
      <alignment horizontal="center" vertical="center"/>
    </xf>
    <xf numFmtId="0" fontId="18" fillId="0" borderId="10" xfId="0" applyFont="1" applyBorder="1" applyAlignment="1">
      <alignment horizontal="left" vertical="center" indent="1"/>
    </xf>
    <xf numFmtId="0" fontId="18" fillId="0" borderId="96" xfId="0" applyFont="1" applyBorder="1" applyAlignment="1">
      <alignment horizontal="left" vertical="center" wrapText="1" indent="1"/>
    </xf>
    <xf numFmtId="0" fontId="33" fillId="4" borderId="2" xfId="0" applyFont="1" applyFill="1" applyBorder="1" applyAlignment="1">
      <alignment horizontal="left" vertical="center" wrapText="1" indent="1"/>
    </xf>
    <xf numFmtId="0" fontId="33" fillId="4" borderId="29" xfId="0" applyFont="1" applyFill="1" applyBorder="1" applyAlignment="1">
      <alignment horizontal="left" vertical="center" wrapText="1" indent="1"/>
    </xf>
    <xf numFmtId="3" fontId="33" fillId="4" borderId="12" xfId="0" applyNumberFormat="1" applyFont="1" applyFill="1" applyBorder="1" applyAlignment="1">
      <alignment horizontal="right" vertical="center" wrapText="1" indent="1"/>
    </xf>
    <xf numFmtId="0" fontId="18" fillId="4" borderId="6" xfId="0" applyFont="1" applyFill="1" applyBorder="1" applyAlignment="1">
      <alignment horizontal="left" vertical="center" indent="1"/>
    </xf>
    <xf numFmtId="0" fontId="18" fillId="4" borderId="17" xfId="0" applyFont="1" applyFill="1" applyBorder="1" applyAlignment="1">
      <alignment horizontal="left" vertical="center" indent="1"/>
    </xf>
    <xf numFmtId="0" fontId="44" fillId="9" borderId="0" xfId="0" applyFont="1" applyFill="1" applyBorder="1" applyAlignment="1">
      <alignment horizontal="center" vertical="center" wrapText="1"/>
    </xf>
    <xf numFmtId="0" fontId="33" fillId="16" borderId="1" xfId="0" applyFont="1" applyFill="1" applyBorder="1" applyAlignment="1">
      <alignment horizontal="center" vertical="center" textRotation="90"/>
    </xf>
    <xf numFmtId="170" fontId="18" fillId="4" borderId="6" xfId="0" applyNumberFormat="1" applyFont="1" applyFill="1" applyBorder="1" applyAlignment="1">
      <alignment horizontal="center" vertical="center"/>
    </xf>
    <xf numFmtId="170" fontId="18" fillId="4" borderId="22" xfId="0" applyNumberFormat="1" applyFont="1" applyFill="1" applyBorder="1" applyAlignment="1">
      <alignment horizontal="center" vertical="center"/>
    </xf>
    <xf numFmtId="0" fontId="44" fillId="9" borderId="64" xfId="0" applyFont="1" applyFill="1" applyBorder="1" applyAlignment="1">
      <alignment horizontal="center" vertical="center"/>
    </xf>
    <xf numFmtId="0" fontId="7" fillId="4" borderId="0" xfId="0" applyFont="1" applyFill="1" applyBorder="1" applyAlignment="1">
      <alignment horizontal="center" vertical="center"/>
    </xf>
    <xf numFmtId="0" fontId="18" fillId="4" borderId="11" xfId="0" applyFont="1" applyFill="1" applyBorder="1" applyAlignment="1">
      <alignment horizontal="center" vertical="center"/>
    </xf>
    <xf numFmtId="0" fontId="44" fillId="9" borderId="0" xfId="0" applyFont="1" applyFill="1" applyBorder="1" applyAlignment="1">
      <alignment horizontal="left" vertical="center" indent="1"/>
    </xf>
    <xf numFmtId="0" fontId="44" fillId="9" borderId="39" xfId="0" applyFont="1" applyFill="1" applyBorder="1" applyAlignment="1">
      <alignment horizontal="center" vertical="center"/>
    </xf>
    <xf numFmtId="0" fontId="33" fillId="4" borderId="0" xfId="0" applyFont="1" applyFill="1" applyAlignment="1"/>
    <xf numFmtId="0" fontId="44" fillId="9" borderId="35" xfId="0" applyFont="1" applyFill="1" applyBorder="1" applyAlignment="1">
      <alignment horizontal="center" vertical="center" wrapText="1"/>
    </xf>
    <xf numFmtId="0" fontId="44" fillId="9" borderId="39" xfId="0" applyFont="1" applyFill="1" applyBorder="1" applyAlignment="1">
      <alignment horizontal="center" vertical="center" wrapText="1"/>
    </xf>
    <xf numFmtId="170" fontId="18" fillId="4" borderId="11" xfId="0" applyNumberFormat="1" applyFont="1" applyFill="1" applyBorder="1" applyAlignment="1">
      <alignment horizontal="center" vertical="center"/>
    </xf>
    <xf numFmtId="6" fontId="18" fillId="4" borderId="22" xfId="0" applyNumberFormat="1" applyFont="1" applyFill="1" applyBorder="1" applyAlignment="1">
      <alignment horizontal="center" vertical="center"/>
    </xf>
    <xf numFmtId="6" fontId="18" fillId="4" borderId="6" xfId="0" applyNumberFormat="1" applyFont="1" applyFill="1" applyBorder="1" applyAlignment="1">
      <alignment horizontal="center" vertical="center"/>
    </xf>
    <xf numFmtId="0" fontId="44" fillId="9" borderId="64" xfId="0" applyFont="1" applyFill="1" applyBorder="1" applyAlignment="1">
      <alignment horizontal="center" vertical="center"/>
    </xf>
    <xf numFmtId="6" fontId="44" fillId="9" borderId="35" xfId="0" applyNumberFormat="1" applyFont="1" applyFill="1" applyBorder="1" applyAlignment="1">
      <alignment horizontal="center" vertical="center"/>
    </xf>
    <xf numFmtId="6" fontId="18" fillId="4" borderId="17" xfId="0" applyNumberFormat="1" applyFont="1" applyFill="1" applyBorder="1" applyAlignment="1">
      <alignment horizontal="center" vertical="center"/>
    </xf>
    <xf numFmtId="0" fontId="33" fillId="4" borderId="0" xfId="0" applyFont="1" applyFill="1" applyAlignment="1"/>
    <xf numFmtId="172" fontId="72" fillId="4" borderId="89" xfId="0" applyNumberFormat="1" applyFont="1" applyFill="1" applyBorder="1" applyAlignment="1">
      <alignment horizontal="center" vertical="center"/>
    </xf>
    <xf numFmtId="172" fontId="72" fillId="4" borderId="57" xfId="0" applyNumberFormat="1" applyFont="1" applyFill="1" applyBorder="1" applyAlignment="1">
      <alignment horizontal="center" vertical="center"/>
    </xf>
    <xf numFmtId="172" fontId="72" fillId="4" borderId="93" xfId="0" applyNumberFormat="1" applyFont="1" applyFill="1" applyBorder="1" applyAlignment="1">
      <alignment horizontal="center" vertical="center"/>
    </xf>
    <xf numFmtId="172" fontId="72" fillId="4" borderId="23" xfId="0" applyNumberFormat="1" applyFont="1" applyFill="1" applyBorder="1" applyAlignment="1">
      <alignment horizontal="center" vertical="center"/>
    </xf>
    <xf numFmtId="170" fontId="73" fillId="4" borderId="3" xfId="0" applyNumberFormat="1" applyFont="1" applyFill="1" applyBorder="1" applyAlignment="1">
      <alignment horizontal="center" vertical="center"/>
    </xf>
    <xf numFmtId="170" fontId="73" fillId="4" borderId="18" xfId="0" applyNumberFormat="1" applyFont="1" applyFill="1" applyBorder="1" applyAlignment="1">
      <alignment horizontal="center" vertical="center"/>
    </xf>
    <xf numFmtId="170" fontId="72" fillId="4" borderId="29" xfId="0" applyNumberFormat="1" applyFont="1" applyFill="1" applyBorder="1" applyAlignment="1">
      <alignment horizontal="center" vertical="center"/>
    </xf>
    <xf numFmtId="170" fontId="72" fillId="4" borderId="12" xfId="0" applyNumberFormat="1" applyFont="1" applyFill="1" applyBorder="1" applyAlignment="1">
      <alignment horizontal="center" vertical="center"/>
    </xf>
    <xf numFmtId="170" fontId="72" fillId="4" borderId="21" xfId="0" applyNumberFormat="1" applyFont="1" applyFill="1" applyBorder="1" applyAlignment="1">
      <alignment horizontal="center" vertical="center"/>
    </xf>
    <xf numFmtId="170" fontId="72" fillId="4" borderId="7" xfId="0" applyNumberFormat="1" applyFont="1" applyFill="1" applyBorder="1" applyAlignment="1">
      <alignment horizontal="center" vertical="center"/>
    </xf>
    <xf numFmtId="170" fontId="72" fillId="4" borderId="31" xfId="0" applyNumberFormat="1" applyFont="1" applyFill="1" applyBorder="1" applyAlignment="1">
      <alignment horizontal="center" vertical="center"/>
    </xf>
    <xf numFmtId="170" fontId="72" fillId="4" borderId="13" xfId="0" applyNumberFormat="1" applyFont="1" applyFill="1" applyBorder="1" applyAlignment="1">
      <alignment horizontal="center" vertical="center"/>
    </xf>
    <xf numFmtId="170" fontId="72" fillId="4" borderId="17" xfId="0" applyNumberFormat="1" applyFont="1" applyFill="1" applyBorder="1" applyAlignment="1">
      <alignment horizontal="center" vertical="center"/>
    </xf>
    <xf numFmtId="170" fontId="72" fillId="4" borderId="6" xfId="0" applyNumberFormat="1" applyFont="1" applyFill="1" applyBorder="1" applyAlignment="1">
      <alignment horizontal="center" vertical="center"/>
    </xf>
    <xf numFmtId="170" fontId="72" fillId="4" borderId="22" xfId="0" applyNumberFormat="1" applyFont="1" applyFill="1" applyBorder="1" applyAlignment="1">
      <alignment horizontal="center" vertical="center"/>
    </xf>
    <xf numFmtId="170" fontId="72" fillId="4" borderId="11" xfId="0" applyNumberFormat="1" applyFont="1" applyFill="1" applyBorder="1" applyAlignment="1">
      <alignment horizontal="center" vertical="center"/>
    </xf>
    <xf numFmtId="170" fontId="72" fillId="4" borderId="83" xfId="0" applyNumberFormat="1" applyFont="1" applyFill="1" applyBorder="1" applyAlignment="1">
      <alignment horizontal="center" vertical="center"/>
    </xf>
    <xf numFmtId="170" fontId="18" fillId="0" borderId="93" xfId="31" applyNumberFormat="1" applyFont="1" applyFill="1" applyBorder="1" applyAlignment="1">
      <alignment horizontal="center" vertical="center"/>
    </xf>
    <xf numFmtId="0" fontId="33" fillId="4" borderId="10" xfId="0" applyFont="1" applyFill="1" applyBorder="1" applyAlignment="1">
      <alignment horizontal="center" vertical="center"/>
    </xf>
    <xf numFmtId="0" fontId="33" fillId="4" borderId="27" xfId="0" applyFont="1" applyFill="1" applyBorder="1" applyAlignment="1">
      <alignment horizontal="left" vertical="center" wrapText="1" indent="1"/>
    </xf>
    <xf numFmtId="170" fontId="72" fillId="4" borderId="92" xfId="0" applyNumberFormat="1" applyFont="1" applyFill="1" applyBorder="1" applyAlignment="1">
      <alignment horizontal="center" vertical="center"/>
    </xf>
    <xf numFmtId="170" fontId="72" fillId="4" borderId="57" xfId="0" applyNumberFormat="1" applyFont="1" applyFill="1" applyBorder="1" applyAlignment="1">
      <alignment horizontal="center" vertical="center"/>
    </xf>
    <xf numFmtId="170" fontId="72" fillId="4" borderId="89" xfId="0" applyNumberFormat="1" applyFont="1" applyFill="1" applyBorder="1" applyAlignment="1">
      <alignment horizontal="center" vertical="center"/>
    </xf>
    <xf numFmtId="170" fontId="18" fillId="24" borderId="57" xfId="31" applyNumberFormat="1" applyFont="1" applyFill="1" applyBorder="1" applyAlignment="1">
      <alignment horizontal="center" vertical="center"/>
    </xf>
    <xf numFmtId="170" fontId="18" fillId="25" borderId="89" xfId="31" applyNumberFormat="1" applyFont="1" applyFill="1" applyBorder="1" applyAlignment="1">
      <alignment horizontal="center" vertical="center"/>
    </xf>
    <xf numFmtId="170" fontId="18" fillId="25" borderId="92" xfId="31" applyNumberFormat="1" applyFont="1" applyFill="1" applyBorder="1" applyAlignment="1">
      <alignment horizontal="center" vertical="center"/>
    </xf>
    <xf numFmtId="170" fontId="18" fillId="25" borderId="23" xfId="31" applyNumberFormat="1" applyFont="1" applyFill="1" applyBorder="1" applyAlignment="1">
      <alignment horizontal="center" vertical="center"/>
    </xf>
    <xf numFmtId="170" fontId="18" fillId="25" borderId="11" xfId="31" applyNumberFormat="1" applyFont="1" applyFill="1" applyBorder="1" applyAlignment="1">
      <alignment horizontal="center" vertical="center"/>
    </xf>
    <xf numFmtId="170" fontId="18" fillId="25" borderId="103" xfId="31" applyNumberFormat="1" applyFont="1" applyFill="1" applyBorder="1" applyAlignment="1">
      <alignment horizontal="center" vertical="center"/>
    </xf>
    <xf numFmtId="170" fontId="18" fillId="25" borderId="90" xfId="31" applyNumberFormat="1" applyFont="1" applyFill="1" applyBorder="1" applyAlignment="1">
      <alignment horizontal="center" vertical="center"/>
    </xf>
    <xf numFmtId="170" fontId="33" fillId="4" borderId="6" xfId="0" applyNumberFormat="1" applyFont="1" applyFill="1" applyBorder="1" applyAlignment="1">
      <alignment horizontal="center" vertical="center"/>
    </xf>
    <xf numFmtId="0" fontId="29" fillId="4" borderId="3" xfId="0" applyFont="1" applyFill="1" applyBorder="1"/>
    <xf numFmtId="0" fontId="59" fillId="4" borderId="30" xfId="0" applyFont="1" applyFill="1" applyBorder="1" applyAlignment="1">
      <alignment vertical="center"/>
    </xf>
    <xf numFmtId="49" fontId="18" fillId="4" borderId="15" xfId="0" applyNumberFormat="1" applyFont="1" applyFill="1" applyBorder="1" applyAlignment="1">
      <alignment horizontal="center" vertical="center"/>
    </xf>
    <xf numFmtId="0" fontId="29" fillId="4" borderId="23" xfId="0" applyFont="1" applyFill="1" applyBorder="1"/>
    <xf numFmtId="170" fontId="33" fillId="13" borderId="24" xfId="0" applyNumberFormat="1" applyFont="1" applyFill="1" applyBorder="1" applyAlignment="1">
      <alignment horizontal="center" vertical="center" wrapText="1"/>
    </xf>
    <xf numFmtId="170" fontId="67" fillId="13" borderId="25" xfId="0" applyNumberFormat="1" applyFont="1" applyFill="1" applyBorder="1" applyAlignment="1">
      <alignment horizontal="center" vertical="center" wrapText="1"/>
    </xf>
    <xf numFmtId="170" fontId="33" fillId="13" borderId="18" xfId="0" applyNumberFormat="1" applyFont="1" applyFill="1" applyBorder="1" applyAlignment="1">
      <alignment horizontal="center" vertical="center" wrapText="1"/>
    </xf>
    <xf numFmtId="170" fontId="67" fillId="13" borderId="11" xfId="0" applyNumberFormat="1" applyFont="1" applyFill="1" applyBorder="1" applyAlignment="1">
      <alignment horizontal="center" vertical="center" wrapText="1"/>
    </xf>
    <xf numFmtId="170" fontId="33" fillId="13" borderId="12" xfId="0" applyNumberFormat="1" applyFont="1" applyFill="1" applyBorder="1" applyAlignment="1">
      <alignment horizontal="center" vertical="center" wrapText="1"/>
    </xf>
    <xf numFmtId="0" fontId="33" fillId="22" borderId="63" xfId="0" applyFont="1" applyFill="1" applyBorder="1" applyAlignment="1">
      <alignment horizontal="center" vertical="center" textRotation="90"/>
    </xf>
    <xf numFmtId="0" fontId="33" fillId="4" borderId="16" xfId="0" applyFont="1" applyFill="1" applyBorder="1" applyAlignment="1">
      <alignment horizontal="left" vertical="center" wrapText="1" indent="1"/>
    </xf>
    <xf numFmtId="0" fontId="33" fillId="4" borderId="2" xfId="0" applyFont="1" applyFill="1" applyBorder="1" applyAlignment="1">
      <alignment horizontal="left" vertical="center" wrapText="1" indent="1"/>
    </xf>
    <xf numFmtId="0" fontId="33" fillId="4" borderId="27" xfId="0" applyFont="1" applyFill="1" applyBorder="1" applyAlignment="1">
      <alignment horizontal="left" vertical="center" wrapText="1" indent="1"/>
    </xf>
    <xf numFmtId="0" fontId="33" fillId="4" borderId="0" xfId="0" applyFont="1" applyFill="1" applyBorder="1" applyAlignment="1">
      <alignment horizontal="center" vertical="center" textRotation="90"/>
    </xf>
    <xf numFmtId="0" fontId="17" fillId="4" borderId="0" xfId="0" applyFont="1" applyFill="1"/>
    <xf numFmtId="3" fontId="33" fillId="4" borderId="23" xfId="0" applyNumberFormat="1" applyFont="1" applyFill="1" applyBorder="1" applyAlignment="1">
      <alignment horizontal="right" vertical="center" wrapText="1" indent="1"/>
    </xf>
    <xf numFmtId="3" fontId="33" fillId="4" borderId="107" xfId="0" applyNumberFormat="1" applyFont="1" applyFill="1" applyBorder="1" applyAlignment="1">
      <alignment horizontal="right" vertical="center" wrapText="1" indent="1"/>
    </xf>
    <xf numFmtId="49" fontId="33" fillId="13" borderId="0" xfId="0" applyNumberFormat="1" applyFont="1" applyFill="1" applyBorder="1"/>
    <xf numFmtId="0" fontId="46" fillId="13" borderId="0" xfId="0" applyFont="1" applyFill="1" applyBorder="1" applyAlignment="1">
      <alignment horizontal="left" vertical="center" indent="1"/>
    </xf>
    <xf numFmtId="0" fontId="46" fillId="13" borderId="0" xfId="0" applyFont="1" applyFill="1" applyBorder="1" applyAlignment="1">
      <alignment horizontal="center" vertical="center"/>
    </xf>
    <xf numFmtId="170" fontId="46" fillId="13" borderId="0" xfId="0" applyNumberFormat="1" applyFont="1" applyFill="1" applyBorder="1" applyAlignment="1">
      <alignment horizontal="center" vertical="center"/>
    </xf>
    <xf numFmtId="170" fontId="33" fillId="4" borderId="30" xfId="0" applyNumberFormat="1" applyFont="1" applyFill="1" applyBorder="1" applyAlignment="1">
      <alignment horizontal="center" vertical="center"/>
    </xf>
    <xf numFmtId="170" fontId="33" fillId="4" borderId="23" xfId="0" applyNumberFormat="1" applyFont="1" applyFill="1" applyBorder="1" applyAlignment="1">
      <alignment horizontal="center" vertical="center"/>
    </xf>
    <xf numFmtId="0" fontId="44" fillId="9" borderId="0" xfId="0" applyFont="1" applyFill="1" applyBorder="1" applyAlignment="1">
      <alignment horizontal="center" vertical="center" wrapText="1"/>
    </xf>
    <xf numFmtId="0" fontId="55" fillId="9" borderId="35" xfId="0" applyFont="1" applyFill="1" applyBorder="1" applyAlignment="1">
      <alignment horizontal="center" vertical="center" wrapText="1"/>
    </xf>
    <xf numFmtId="0" fontId="10" fillId="9" borderId="0" xfId="0" applyFont="1" applyFill="1" applyBorder="1" applyAlignment="1">
      <alignment vertical="center"/>
    </xf>
    <xf numFmtId="0" fontId="29" fillId="9" borderId="35" xfId="0" applyFont="1" applyFill="1" applyBorder="1"/>
    <xf numFmtId="170" fontId="68" fillId="4" borderId="11" xfId="0" applyNumberFormat="1" applyFont="1" applyFill="1" applyBorder="1" applyAlignment="1">
      <alignment horizontal="center" vertical="center"/>
    </xf>
    <xf numFmtId="0" fontId="33" fillId="13" borderId="31" xfId="0" applyFont="1" applyFill="1" applyBorder="1" applyAlignment="1">
      <alignment horizontal="left" vertical="center" wrapText="1" indent="1"/>
    </xf>
    <xf numFmtId="0" fontId="33" fillId="13" borderId="13" xfId="0" applyFont="1" applyFill="1" applyBorder="1" applyAlignment="1">
      <alignment horizontal="left" vertical="center" wrapText="1" indent="1"/>
    </xf>
    <xf numFmtId="170" fontId="33" fillId="4" borderId="24" xfId="0" applyNumberFormat="1" applyFont="1" applyFill="1" applyBorder="1" applyAlignment="1">
      <alignment horizontal="center" vertical="center"/>
    </xf>
    <xf numFmtId="170" fontId="18" fillId="24" borderId="23" xfId="31" applyNumberFormat="1" applyFont="1" applyFill="1" applyBorder="1" applyAlignment="1">
      <alignment horizontal="center" vertical="center"/>
    </xf>
    <xf numFmtId="170" fontId="33" fillId="4" borderId="20" xfId="0" applyNumberFormat="1" applyFont="1" applyFill="1" applyBorder="1" applyAlignment="1">
      <alignment horizontal="center" vertical="center"/>
    </xf>
    <xf numFmtId="0" fontId="32" fillId="4" borderId="0" xfId="0" applyFont="1" applyFill="1" applyBorder="1" applyAlignment="1">
      <alignment horizontal="center" vertical="center"/>
    </xf>
    <xf numFmtId="0" fontId="44" fillId="9" borderId="0" xfId="0" applyFont="1" applyFill="1" applyBorder="1" applyAlignment="1">
      <alignment horizontal="center" vertical="center"/>
    </xf>
    <xf numFmtId="0" fontId="44" fillId="9" borderId="0" xfId="0" applyFont="1" applyFill="1" applyBorder="1" applyAlignment="1">
      <alignment horizontal="center" vertical="center" wrapText="1"/>
    </xf>
    <xf numFmtId="0" fontId="44" fillId="9" borderId="35" xfId="0" applyFont="1" applyFill="1" applyBorder="1" applyAlignment="1">
      <alignment horizontal="center" vertical="center" wrapText="1"/>
    </xf>
    <xf numFmtId="172" fontId="72" fillId="4" borderId="110" xfId="0" applyNumberFormat="1" applyFont="1" applyFill="1" applyBorder="1" applyAlignment="1">
      <alignment horizontal="center" vertical="center"/>
    </xf>
    <xf numFmtId="172" fontId="72" fillId="24" borderId="109" xfId="0" applyNumberFormat="1" applyFont="1" applyFill="1" applyBorder="1" applyAlignment="1">
      <alignment horizontal="center" vertical="center"/>
    </xf>
    <xf numFmtId="172" fontId="72" fillId="24" borderId="90" xfId="0" applyNumberFormat="1" applyFont="1" applyFill="1" applyBorder="1" applyAlignment="1">
      <alignment horizontal="center" vertical="center"/>
    </xf>
    <xf numFmtId="170" fontId="46" fillId="4" borderId="8" xfId="0" applyNumberFormat="1" applyFont="1" applyFill="1" applyBorder="1" applyAlignment="1">
      <alignment horizontal="center" vertical="center"/>
    </xf>
    <xf numFmtId="0" fontId="59" fillId="4" borderId="17" xfId="0" applyFont="1" applyFill="1" applyBorder="1" applyAlignment="1">
      <alignment horizontal="left" vertical="center" indent="1"/>
    </xf>
    <xf numFmtId="0" fontId="51" fillId="9" borderId="111" xfId="0" applyFont="1" applyFill="1" applyBorder="1" applyAlignment="1">
      <alignment horizontal="left" vertical="center" wrapText="1" indent="1"/>
    </xf>
    <xf numFmtId="0" fontId="51" fillId="9" borderId="112" xfId="0" applyFont="1" applyFill="1" applyBorder="1" applyAlignment="1">
      <alignment horizontal="left" vertical="center" indent="1"/>
    </xf>
    <xf numFmtId="0" fontId="33" fillId="4" borderId="0" xfId="0" applyFont="1" applyFill="1" applyBorder="1" applyAlignment="1">
      <alignment vertical="center" textRotation="90"/>
    </xf>
    <xf numFmtId="0" fontId="68" fillId="4" borderId="26" xfId="0" applyFont="1" applyFill="1" applyBorder="1" applyAlignment="1">
      <alignment horizontal="left" vertical="center" wrapText="1" indent="1"/>
    </xf>
    <xf numFmtId="170" fontId="18" fillId="25" borderId="108" xfId="31" applyNumberFormat="1" applyFont="1" applyFill="1" applyBorder="1" applyAlignment="1">
      <alignment horizontal="center" vertical="center"/>
    </xf>
    <xf numFmtId="170" fontId="18" fillId="24" borderId="15" xfId="31" applyNumberFormat="1" applyFont="1" applyFill="1" applyBorder="1" applyAlignment="1">
      <alignment horizontal="center" vertical="center"/>
    </xf>
    <xf numFmtId="0" fontId="33" fillId="4" borderId="30" xfId="0" applyFont="1" applyFill="1" applyBorder="1" applyAlignment="1">
      <alignment horizontal="center" vertical="center"/>
    </xf>
    <xf numFmtId="0" fontId="33" fillId="4" borderId="27" xfId="0" applyFont="1" applyFill="1" applyBorder="1" applyAlignment="1">
      <alignment horizontal="center" vertical="center"/>
    </xf>
    <xf numFmtId="0" fontId="33" fillId="4" borderId="23" xfId="0" applyFont="1" applyFill="1" applyBorder="1" applyAlignment="1">
      <alignment horizontal="center" vertical="center"/>
    </xf>
    <xf numFmtId="0" fontId="62" fillId="4" borderId="0" xfId="0" applyFont="1" applyFill="1" applyBorder="1" applyAlignment="1">
      <alignment vertical="top"/>
    </xf>
    <xf numFmtId="0" fontId="68" fillId="4" borderId="0" xfId="0" applyFont="1" applyFill="1" applyBorder="1" applyAlignment="1">
      <alignment horizontal="left" vertical="center" wrapText="1" indent="1"/>
    </xf>
    <xf numFmtId="0" fontId="29" fillId="4" borderId="27" xfId="0" applyFont="1" applyFill="1" applyBorder="1"/>
    <xf numFmtId="0" fontId="44" fillId="9" borderId="0" xfId="0" applyFont="1" applyFill="1" applyBorder="1" applyAlignment="1">
      <alignment horizontal="center" vertical="center"/>
    </xf>
    <xf numFmtId="0" fontId="44" fillId="9" borderId="35" xfId="0" applyFont="1" applyFill="1" applyBorder="1" applyAlignment="1">
      <alignment horizontal="center" vertical="center"/>
    </xf>
    <xf numFmtId="0" fontId="72" fillId="4" borderId="18" xfId="0" applyFont="1" applyFill="1" applyBorder="1" applyAlignment="1">
      <alignment horizontal="center" vertical="center"/>
    </xf>
    <xf numFmtId="0" fontId="7" fillId="4" borderId="3"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7" xfId="0" applyFont="1" applyFill="1" applyBorder="1" applyAlignment="1">
      <alignment horizontal="left" vertical="center" indent="1"/>
    </xf>
    <xf numFmtId="0" fontId="18" fillId="4" borderId="11" xfId="0" applyFont="1" applyFill="1" applyBorder="1" applyAlignment="1">
      <alignment horizontal="left" vertical="center" indent="1"/>
    </xf>
    <xf numFmtId="170" fontId="46" fillId="4" borderId="17" xfId="0" applyNumberFormat="1" applyFont="1" applyFill="1" applyBorder="1" applyAlignment="1">
      <alignment horizontal="center" vertical="center"/>
    </xf>
    <xf numFmtId="170" fontId="46" fillId="4" borderId="6" xfId="0" applyNumberFormat="1" applyFont="1" applyFill="1" applyBorder="1" applyAlignment="1">
      <alignment horizontal="center" vertical="center"/>
    </xf>
    <xf numFmtId="170" fontId="33" fillId="4" borderId="17" xfId="0" applyNumberFormat="1" applyFont="1" applyFill="1" applyBorder="1" applyAlignment="1">
      <alignment horizontal="center" vertical="center"/>
    </xf>
    <xf numFmtId="0" fontId="18" fillId="4" borderId="23" xfId="0" applyFont="1" applyFill="1" applyBorder="1" applyAlignment="1">
      <alignment horizontal="left" vertical="center" wrapText="1" indent="1"/>
    </xf>
    <xf numFmtId="170" fontId="51" fillId="9" borderId="46" xfId="0" applyNumberFormat="1" applyFont="1" applyFill="1" applyBorder="1" applyAlignment="1">
      <alignment horizontal="center" vertical="center"/>
    </xf>
    <xf numFmtId="0" fontId="18" fillId="4" borderId="1" xfId="0" applyFont="1" applyFill="1" applyBorder="1" applyAlignment="1">
      <alignment horizontal="left" vertical="center" indent="1"/>
    </xf>
    <xf numFmtId="0" fontId="18" fillId="0" borderId="7" xfId="0" applyFont="1" applyFill="1" applyBorder="1" applyAlignment="1">
      <alignment horizontal="left" vertical="center" indent="1"/>
    </xf>
    <xf numFmtId="0" fontId="33" fillId="4" borderId="29" xfId="0" applyFont="1" applyFill="1" applyBorder="1" applyAlignment="1">
      <alignment horizontal="left" vertical="center" indent="1"/>
    </xf>
    <xf numFmtId="170" fontId="33" fillId="4" borderId="10" xfId="0" applyNumberFormat="1" applyFont="1" applyFill="1" applyBorder="1" applyAlignment="1">
      <alignment horizontal="center" vertical="center"/>
    </xf>
    <xf numFmtId="0" fontId="18" fillId="0" borderId="9" xfId="0" applyFont="1" applyFill="1" applyBorder="1" applyAlignment="1">
      <alignment horizontal="left" vertical="center" indent="1"/>
    </xf>
    <xf numFmtId="0" fontId="33" fillId="4" borderId="14" xfId="0" applyFont="1" applyFill="1" applyBorder="1" applyAlignment="1">
      <alignment horizontal="left" vertical="center" indent="1"/>
    </xf>
    <xf numFmtId="170" fontId="33" fillId="0" borderId="6" xfId="0" applyNumberFormat="1" applyFont="1" applyFill="1" applyBorder="1" applyAlignment="1">
      <alignment horizontal="center" vertical="center"/>
    </xf>
    <xf numFmtId="0" fontId="44" fillId="9" borderId="100" xfId="0" applyFont="1" applyFill="1" applyBorder="1" applyAlignment="1">
      <alignment horizontal="left" vertical="center" wrapText="1" indent="1"/>
    </xf>
    <xf numFmtId="0" fontId="44" fillId="9" borderId="104" xfId="0" applyFont="1" applyFill="1" applyBorder="1" applyAlignment="1">
      <alignment horizontal="left" vertical="center" indent="1"/>
    </xf>
    <xf numFmtId="0" fontId="44" fillId="9" borderId="104" xfId="0" applyFont="1" applyFill="1" applyBorder="1" applyAlignment="1">
      <alignment horizontal="left" vertical="center" wrapText="1" indent="1"/>
    </xf>
    <xf numFmtId="0" fontId="44" fillId="9" borderId="98" xfId="0" applyFont="1" applyFill="1" applyBorder="1" applyAlignment="1">
      <alignment horizontal="left" vertical="center" wrapText="1" indent="1"/>
    </xf>
    <xf numFmtId="0" fontId="33" fillId="4" borderId="9" xfId="0" applyFont="1" applyFill="1" applyBorder="1" applyAlignment="1">
      <alignment horizontal="center" vertical="center" wrapText="1"/>
    </xf>
    <xf numFmtId="0" fontId="33" fillId="4" borderId="8" xfId="0" applyFont="1" applyFill="1" applyBorder="1" applyAlignment="1">
      <alignment horizontal="center" vertical="center" wrapText="1"/>
    </xf>
    <xf numFmtId="0" fontId="59" fillId="4" borderId="2" xfId="11" applyFont="1" applyFill="1" applyBorder="1" applyAlignment="1">
      <alignment horizontal="left" vertical="center" indent="1"/>
    </xf>
    <xf numFmtId="0" fontId="46" fillId="13" borderId="0" xfId="0" applyFont="1" applyFill="1" applyAlignment="1">
      <alignment horizontal="left"/>
    </xf>
    <xf numFmtId="0" fontId="44" fillId="15" borderId="0" xfId="0" applyFont="1" applyFill="1" applyBorder="1" applyAlignment="1">
      <alignment vertical="center" wrapText="1"/>
    </xf>
    <xf numFmtId="170" fontId="18" fillId="24" borderId="11" xfId="31" applyNumberFormat="1" applyFont="1" applyFill="1" applyBorder="1" applyAlignment="1">
      <alignment horizontal="center" vertical="center"/>
    </xf>
    <xf numFmtId="3" fontId="51" fillId="9" borderId="0" xfId="0" applyNumberFormat="1" applyFont="1" applyFill="1" applyBorder="1" applyAlignment="1">
      <alignment vertical="center" wrapText="1"/>
    </xf>
    <xf numFmtId="0" fontId="44" fillId="21" borderId="62" xfId="0" applyFont="1" applyFill="1" applyBorder="1" applyAlignment="1">
      <alignment horizontal="center" vertical="center"/>
    </xf>
    <xf numFmtId="170" fontId="33" fillId="4" borderId="6" xfId="0" applyNumberFormat="1" applyFont="1" applyFill="1" applyBorder="1" applyAlignment="1">
      <alignment horizontal="center" vertical="center"/>
    </xf>
    <xf numFmtId="170" fontId="33" fillId="4" borderId="2" xfId="0" applyNumberFormat="1" applyFont="1" applyFill="1" applyBorder="1" applyAlignment="1">
      <alignment horizontal="center" vertical="center"/>
    </xf>
    <xf numFmtId="170" fontId="33" fillId="13" borderId="11" xfId="0" applyNumberFormat="1" applyFont="1" applyFill="1" applyBorder="1" applyAlignment="1">
      <alignment horizontal="center" vertical="center"/>
    </xf>
    <xf numFmtId="170" fontId="33" fillId="4" borderId="21" xfId="0" applyNumberFormat="1" applyFont="1" applyFill="1" applyBorder="1" applyAlignment="1">
      <alignment horizontal="center" vertical="center"/>
    </xf>
    <xf numFmtId="171" fontId="18" fillId="4" borderId="6" xfId="1" applyNumberFormat="1" applyFont="1" applyFill="1" applyBorder="1" applyAlignment="1">
      <alignment horizontal="center" vertical="center"/>
    </xf>
    <xf numFmtId="171" fontId="18" fillId="4" borderId="18" xfId="0" applyNumberFormat="1" applyFont="1" applyFill="1" applyBorder="1" applyAlignment="1">
      <alignment horizontal="center" vertical="center"/>
    </xf>
    <xf numFmtId="0" fontId="33" fillId="4" borderId="21" xfId="0" applyFont="1" applyFill="1" applyBorder="1" applyAlignment="1">
      <alignment horizontal="center" vertical="center" wrapText="1"/>
    </xf>
    <xf numFmtId="0" fontId="33" fillId="4" borderId="21" xfId="0" applyFont="1" applyFill="1" applyBorder="1" applyAlignment="1">
      <alignment horizontal="center" vertical="center"/>
    </xf>
    <xf numFmtId="0" fontId="46" fillId="4" borderId="0" xfId="0" applyFont="1" applyFill="1" applyBorder="1" applyAlignment="1">
      <alignment horizontal="left" vertical="center" indent="1"/>
    </xf>
    <xf numFmtId="0" fontId="44" fillId="20" borderId="59" xfId="0" applyFont="1" applyFill="1" applyBorder="1" applyAlignment="1">
      <alignment horizontal="center" vertical="center"/>
    </xf>
    <xf numFmtId="170" fontId="33" fillId="4" borderId="6" xfId="0" applyNumberFormat="1" applyFont="1" applyFill="1" applyBorder="1" applyAlignment="1">
      <alignment horizontal="center" vertical="center"/>
    </xf>
    <xf numFmtId="170" fontId="33" fillId="4" borderId="22" xfId="0" applyNumberFormat="1" applyFont="1" applyFill="1" applyBorder="1" applyAlignment="1">
      <alignment horizontal="center" vertical="center"/>
    </xf>
    <xf numFmtId="170" fontId="33" fillId="4" borderId="17" xfId="0" applyNumberFormat="1" applyFont="1" applyFill="1" applyBorder="1" applyAlignment="1">
      <alignment horizontal="center" vertical="center"/>
    </xf>
    <xf numFmtId="0" fontId="53" fillId="21" borderId="61" xfId="0" applyFont="1" applyFill="1" applyBorder="1" applyAlignment="1">
      <alignment horizontal="center" vertical="center"/>
    </xf>
    <xf numFmtId="171" fontId="18" fillId="4" borderId="17" xfId="1" applyNumberFormat="1" applyFont="1" applyFill="1" applyBorder="1" applyAlignment="1">
      <alignment horizontal="center" vertical="center"/>
    </xf>
    <xf numFmtId="6" fontId="18" fillId="4" borderId="10" xfId="1" applyNumberFormat="1" applyFont="1" applyFill="1" applyBorder="1" applyAlignment="1">
      <alignment horizontal="center" vertical="center"/>
    </xf>
    <xf numFmtId="0" fontId="33" fillId="4" borderId="9" xfId="0" applyFont="1" applyFill="1" applyBorder="1" applyAlignment="1">
      <alignment horizontal="center" vertical="center"/>
    </xf>
    <xf numFmtId="0" fontId="33" fillId="4" borderId="32" xfId="0" applyFont="1" applyFill="1" applyBorder="1" applyAlignment="1">
      <alignment horizontal="center" vertical="center"/>
    </xf>
    <xf numFmtId="0" fontId="33" fillId="4" borderId="29" xfId="0" applyFont="1" applyFill="1" applyBorder="1" applyAlignment="1">
      <alignment horizontal="center" vertical="center"/>
    </xf>
    <xf numFmtId="0" fontId="33" fillId="0" borderId="29" xfId="0" applyFont="1" applyFill="1" applyBorder="1" applyAlignment="1">
      <alignment horizontal="center" vertical="center"/>
    </xf>
    <xf numFmtId="0" fontId="18" fillId="4" borderId="21" xfId="0" applyFont="1" applyFill="1" applyBorder="1" applyAlignment="1">
      <alignment horizontal="center" vertical="center"/>
    </xf>
    <xf numFmtId="171" fontId="18" fillId="4" borderId="24" xfId="1" applyNumberFormat="1" applyFont="1" applyFill="1" applyBorder="1" applyAlignment="1">
      <alignment horizontal="center" vertical="center"/>
    </xf>
    <xf numFmtId="0" fontId="18" fillId="4" borderId="29" xfId="0" applyFont="1" applyFill="1" applyBorder="1" applyAlignment="1">
      <alignment horizontal="center" vertical="center"/>
    </xf>
    <xf numFmtId="0" fontId="18" fillId="4" borderId="24" xfId="0" applyFont="1" applyFill="1" applyBorder="1" applyAlignment="1">
      <alignment horizontal="center" vertical="center"/>
    </xf>
    <xf numFmtId="0" fontId="33" fillId="4" borderId="58" xfId="0" applyFont="1" applyFill="1" applyBorder="1" applyAlignment="1">
      <alignment vertical="center" textRotation="90"/>
    </xf>
    <xf numFmtId="0" fontId="33" fillId="4" borderId="1" xfId="0" applyFont="1" applyFill="1" applyBorder="1" applyAlignment="1">
      <alignment vertical="center" textRotation="90"/>
    </xf>
    <xf numFmtId="171" fontId="18" fillId="4" borderId="18" xfId="1" applyNumberFormat="1" applyFont="1" applyFill="1" applyBorder="1" applyAlignment="1">
      <alignment horizontal="center" vertical="center"/>
    </xf>
    <xf numFmtId="6" fontId="18" fillId="4" borderId="8" xfId="1" applyNumberFormat="1" applyFont="1" applyFill="1" applyBorder="1" applyAlignment="1">
      <alignment horizontal="center" vertical="center"/>
    </xf>
    <xf numFmtId="0" fontId="46" fillId="4" borderId="10" xfId="0" applyFont="1" applyFill="1" applyBorder="1" applyAlignment="1">
      <alignment horizontal="center" vertical="center"/>
    </xf>
    <xf numFmtId="0" fontId="46" fillId="4" borderId="4" xfId="0" applyFont="1" applyFill="1" applyBorder="1" applyAlignment="1">
      <alignment horizontal="center" vertical="center"/>
    </xf>
    <xf numFmtId="170" fontId="46" fillId="13" borderId="38" xfId="0" applyNumberFormat="1" applyFont="1" applyFill="1" applyBorder="1" applyAlignment="1">
      <alignment horizontal="center" vertical="center"/>
    </xf>
    <xf numFmtId="0" fontId="29" fillId="4" borderId="117" xfId="0" applyFont="1" applyFill="1" applyBorder="1"/>
    <xf numFmtId="0" fontId="46" fillId="4" borderId="118" xfId="0" applyFont="1" applyFill="1" applyBorder="1"/>
    <xf numFmtId="0" fontId="29" fillId="4" borderId="118" xfId="0" applyFont="1" applyFill="1" applyBorder="1"/>
    <xf numFmtId="170" fontId="33" fillId="4" borderId="122" xfId="0" applyNumberFormat="1" applyFont="1" applyFill="1" applyBorder="1" applyAlignment="1">
      <alignment horizontal="center" vertical="center"/>
    </xf>
    <xf numFmtId="0" fontId="47" fillId="27" borderId="118" xfId="0" applyNumberFormat="1" applyFont="1" applyFill="1" applyBorder="1" applyAlignment="1">
      <alignment horizontal="center" vertical="center" wrapText="1"/>
    </xf>
    <xf numFmtId="170" fontId="46" fillId="4" borderId="18" xfId="0" applyNumberFormat="1" applyFont="1" applyFill="1" applyBorder="1" applyAlignment="1">
      <alignment horizontal="center" vertical="center"/>
    </xf>
    <xf numFmtId="170" fontId="46" fillId="4" borderId="24" xfId="0" applyNumberFormat="1" applyFont="1" applyFill="1" applyBorder="1" applyAlignment="1">
      <alignment horizontal="center" vertical="center"/>
    </xf>
    <xf numFmtId="0" fontId="33" fillId="4" borderId="21" xfId="0" applyFont="1" applyFill="1" applyBorder="1" applyAlignment="1">
      <alignment horizontal="left" vertical="center" indent="1"/>
    </xf>
    <xf numFmtId="0" fontId="33" fillId="4" borderId="2" xfId="0" applyFont="1" applyFill="1" applyBorder="1" applyAlignment="1">
      <alignment horizontal="left" vertical="center" indent="1"/>
    </xf>
    <xf numFmtId="170" fontId="33" fillId="4" borderId="22" xfId="0" applyNumberFormat="1" applyFont="1" applyFill="1" applyBorder="1" applyAlignment="1">
      <alignment horizontal="center" vertical="center"/>
    </xf>
    <xf numFmtId="170" fontId="33" fillId="4" borderId="29" xfId="0" applyNumberFormat="1" applyFont="1" applyFill="1" applyBorder="1" applyAlignment="1">
      <alignment horizontal="center" vertical="center"/>
    </xf>
    <xf numFmtId="0" fontId="18" fillId="4" borderId="2" xfId="0" applyFont="1" applyFill="1" applyBorder="1" applyAlignment="1">
      <alignment horizontal="center" vertical="center"/>
    </xf>
    <xf numFmtId="6" fontId="18" fillId="4" borderId="9" xfId="1" applyNumberFormat="1" applyFont="1" applyFill="1" applyBorder="1" applyAlignment="1">
      <alignment horizontal="center" vertical="center"/>
    </xf>
    <xf numFmtId="0" fontId="44" fillId="28" borderId="0" xfId="0" applyFont="1" applyFill="1" applyBorder="1" applyAlignment="1">
      <alignment horizontal="left" vertical="center" wrapText="1" indent="1"/>
    </xf>
    <xf numFmtId="0" fontId="33" fillId="28" borderId="0" xfId="0" applyFont="1" applyFill="1" applyBorder="1" applyAlignment="1">
      <alignment horizontal="left" vertical="center" indent="1"/>
    </xf>
    <xf numFmtId="170" fontId="51" fillId="28" borderId="0" xfId="0" applyNumberFormat="1" applyFont="1" applyFill="1" applyBorder="1" applyAlignment="1">
      <alignment horizontal="center" vertical="center" wrapText="1"/>
    </xf>
    <xf numFmtId="0" fontId="44" fillId="28" borderId="129" xfId="0" applyFont="1" applyFill="1" applyBorder="1" applyAlignment="1">
      <alignment horizontal="left" vertical="center" wrapText="1" indent="1"/>
    </xf>
    <xf numFmtId="2" fontId="33" fillId="4" borderId="29" xfId="0" applyNumberFormat="1" applyFont="1" applyFill="1" applyBorder="1" applyAlignment="1">
      <alignment horizontal="left" vertical="center" wrapText="1" indent="1"/>
    </xf>
    <xf numFmtId="3" fontId="33" fillId="4" borderId="7" xfId="0" applyNumberFormat="1" applyFont="1" applyFill="1" applyBorder="1" applyAlignment="1">
      <alignment horizontal="right" vertical="center" wrapText="1" indent="1"/>
    </xf>
    <xf numFmtId="0" fontId="44" fillId="9" borderId="35" xfId="0" applyFont="1" applyFill="1" applyBorder="1" applyAlignment="1">
      <alignment horizontal="center" vertical="center"/>
    </xf>
    <xf numFmtId="0" fontId="44" fillId="9" borderId="35" xfId="0" applyFont="1" applyFill="1" applyBorder="1" applyAlignment="1">
      <alignment horizontal="center" vertical="center" wrapText="1"/>
    </xf>
    <xf numFmtId="170" fontId="33" fillId="4" borderId="6" xfId="8" applyNumberFormat="1" applyFont="1" applyFill="1" applyBorder="1" applyAlignment="1">
      <alignment horizontal="center" vertical="center"/>
    </xf>
    <xf numFmtId="170" fontId="33" fillId="4" borderId="17" xfId="8" applyNumberFormat="1" applyFont="1" applyFill="1" applyBorder="1" applyAlignment="1">
      <alignment horizontal="center" vertical="center"/>
    </xf>
    <xf numFmtId="170" fontId="33" fillId="4" borderId="22" xfId="8" applyNumberFormat="1" applyFont="1" applyFill="1" applyBorder="1" applyAlignment="1">
      <alignment horizontal="center" vertical="center"/>
    </xf>
    <xf numFmtId="0" fontId="33" fillId="4" borderId="11" xfId="0" applyFont="1" applyFill="1" applyBorder="1" applyAlignment="1">
      <alignment horizontal="center" vertical="center" wrapText="1"/>
    </xf>
    <xf numFmtId="170" fontId="16" fillId="4" borderId="8" xfId="0" applyNumberFormat="1" applyFont="1" applyFill="1" applyBorder="1" applyAlignment="1">
      <alignment horizontal="center" vertical="center" wrapText="1"/>
    </xf>
    <xf numFmtId="170" fontId="33" fillId="4" borderId="5" xfId="0" applyNumberFormat="1" applyFont="1" applyFill="1" applyBorder="1" applyAlignment="1">
      <alignment horizontal="center" vertical="center"/>
    </xf>
    <xf numFmtId="0" fontId="44" fillId="4" borderId="0" xfId="0" applyFont="1" applyFill="1" applyBorder="1" applyAlignment="1">
      <alignment horizontal="center" vertical="center"/>
    </xf>
    <xf numFmtId="0" fontId="44" fillId="4" borderId="0" xfId="0" applyFont="1" applyFill="1" applyBorder="1" applyAlignment="1">
      <alignment horizontal="center" vertical="center" wrapText="1"/>
    </xf>
    <xf numFmtId="170" fontId="16" fillId="4" borderId="3" xfId="0" applyNumberFormat="1" applyFont="1" applyFill="1" applyBorder="1" applyAlignment="1">
      <alignment horizontal="center" vertical="center" wrapText="1"/>
    </xf>
    <xf numFmtId="0" fontId="46" fillId="4" borderId="0" xfId="0" applyFont="1" applyFill="1" applyBorder="1" applyAlignment="1">
      <alignment horizontal="left" vertical="center" indent="1"/>
    </xf>
    <xf numFmtId="170" fontId="33" fillId="4" borderId="6" xfId="0" applyNumberFormat="1" applyFont="1" applyFill="1" applyBorder="1" applyAlignment="1">
      <alignment horizontal="center" vertical="center"/>
    </xf>
    <xf numFmtId="170" fontId="33" fillId="4" borderId="17" xfId="0" applyNumberFormat="1" applyFont="1" applyFill="1" applyBorder="1" applyAlignment="1">
      <alignment horizontal="center" vertical="center"/>
    </xf>
    <xf numFmtId="170" fontId="33" fillId="4" borderId="21" xfId="0" applyNumberFormat="1" applyFont="1" applyFill="1" applyBorder="1" applyAlignment="1">
      <alignment horizontal="center" vertical="center"/>
    </xf>
    <xf numFmtId="170" fontId="33" fillId="4" borderId="31" xfId="0" applyNumberFormat="1" applyFont="1" applyFill="1" applyBorder="1" applyAlignment="1">
      <alignment horizontal="center" vertical="center"/>
    </xf>
    <xf numFmtId="0" fontId="44" fillId="4" borderId="54" xfId="0" applyFont="1" applyFill="1" applyBorder="1" applyAlignment="1">
      <alignment horizontal="left" vertical="center" wrapText="1" indent="1"/>
    </xf>
    <xf numFmtId="0" fontId="33" fillId="4" borderId="54" xfId="0" applyFont="1" applyFill="1" applyBorder="1" applyAlignment="1">
      <alignment horizontal="left" vertical="center" wrapText="1" indent="1"/>
    </xf>
    <xf numFmtId="3" fontId="33" fillId="4" borderId="54" xfId="0" applyNumberFormat="1" applyFont="1" applyFill="1" applyBorder="1" applyAlignment="1">
      <alignment horizontal="right" vertical="center" wrapText="1" indent="1"/>
    </xf>
    <xf numFmtId="170" fontId="33" fillId="4" borderId="54" xfId="0" applyNumberFormat="1" applyFont="1" applyFill="1" applyBorder="1" applyAlignment="1">
      <alignment horizontal="center" vertical="center"/>
    </xf>
    <xf numFmtId="6" fontId="29" fillId="4" borderId="0" xfId="0" applyNumberFormat="1" applyFont="1" applyFill="1" applyBorder="1" applyAlignment="1">
      <alignment horizontal="center" vertical="center"/>
    </xf>
    <xf numFmtId="49" fontId="29" fillId="4" borderId="0" xfId="0" applyNumberFormat="1" applyFont="1" applyFill="1" applyBorder="1" applyAlignment="1">
      <alignment horizontal="center" vertical="center"/>
    </xf>
    <xf numFmtId="0" fontId="59" fillId="4" borderId="6" xfId="11" applyFont="1" applyFill="1" applyBorder="1" applyAlignment="1">
      <alignment horizontal="left" vertical="center" indent="1"/>
    </xf>
    <xf numFmtId="0" fontId="59" fillId="4" borderId="17" xfId="11" applyFont="1" applyFill="1" applyBorder="1" applyAlignment="1">
      <alignment horizontal="left" vertical="center" indent="1"/>
    </xf>
    <xf numFmtId="0" fontId="44" fillId="9" borderId="0" xfId="0" applyFont="1" applyFill="1" applyBorder="1" applyAlignment="1">
      <alignment horizontal="center" vertical="center" wrapText="1"/>
    </xf>
    <xf numFmtId="0" fontId="44" fillId="9" borderId="0" xfId="0" applyFont="1" applyFill="1" applyBorder="1" applyAlignment="1">
      <alignment horizontal="left" vertical="center" wrapText="1" indent="1"/>
    </xf>
    <xf numFmtId="166" fontId="40" fillId="4" borderId="0" xfId="0" applyNumberFormat="1" applyFont="1" applyFill="1" applyBorder="1" applyAlignment="1">
      <alignment horizontal="center" vertical="center"/>
    </xf>
    <xf numFmtId="0" fontId="46" fillId="4" borderId="0" xfId="8" applyNumberFormat="1" applyFont="1" applyFill="1" applyBorder="1" applyAlignment="1">
      <alignment horizontal="center" vertical="center"/>
    </xf>
    <xf numFmtId="0" fontId="51" fillId="9" borderId="0" xfId="8" applyNumberFormat="1" applyFont="1" applyFill="1" applyBorder="1" applyAlignment="1">
      <alignment horizontal="center" vertical="center"/>
    </xf>
    <xf numFmtId="170" fontId="33" fillId="4" borderId="34" xfId="0" applyNumberFormat="1" applyFont="1" applyFill="1" applyBorder="1" applyAlignment="1">
      <alignment horizontal="center" vertical="center"/>
    </xf>
    <xf numFmtId="170" fontId="67" fillId="4" borderId="132" xfId="0" applyNumberFormat="1" applyFont="1" applyFill="1" applyBorder="1" applyAlignment="1">
      <alignment horizontal="center" vertical="center"/>
    </xf>
    <xf numFmtId="170" fontId="46" fillId="4" borderId="34" xfId="0" applyNumberFormat="1" applyFont="1" applyFill="1" applyBorder="1" applyAlignment="1">
      <alignment horizontal="center" vertical="center" wrapText="1"/>
    </xf>
    <xf numFmtId="170" fontId="67" fillId="4" borderId="132" xfId="0" applyNumberFormat="1" applyFont="1" applyFill="1" applyBorder="1" applyAlignment="1">
      <alignment horizontal="center" vertical="center" wrapText="1"/>
    </xf>
    <xf numFmtId="170" fontId="46" fillId="4" borderId="34" xfId="0" applyNumberFormat="1" applyFont="1" applyFill="1" applyBorder="1" applyAlignment="1">
      <alignment horizontal="center" vertical="center"/>
    </xf>
    <xf numFmtId="170" fontId="46" fillId="4" borderId="132" xfId="0" applyNumberFormat="1" applyFont="1" applyFill="1" applyBorder="1" applyAlignment="1">
      <alignment horizontal="center" vertical="center"/>
    </xf>
    <xf numFmtId="0" fontId="29" fillId="4" borderId="3" xfId="0" applyFont="1" applyFill="1" applyBorder="1" applyAlignment="1">
      <alignment horizontal="center" vertical="center"/>
    </xf>
    <xf numFmtId="0" fontId="33" fillId="4" borderId="133" xfId="0" applyFont="1" applyFill="1" applyBorder="1" applyAlignment="1">
      <alignment horizontal="center" vertical="center" wrapText="1"/>
    </xf>
    <xf numFmtId="170" fontId="33" fillId="4" borderId="133" xfId="0" applyNumberFormat="1" applyFont="1" applyFill="1" applyBorder="1" applyAlignment="1">
      <alignment horizontal="center" vertical="center"/>
    </xf>
    <xf numFmtId="0" fontId="44" fillId="4" borderId="129" xfId="0" applyFont="1" applyFill="1" applyBorder="1" applyAlignment="1">
      <alignment horizontal="left" vertical="center" wrapText="1" indent="1"/>
    </xf>
    <xf numFmtId="0" fontId="33" fillId="4" borderId="129" xfId="0" applyFont="1" applyFill="1" applyBorder="1" applyAlignment="1">
      <alignment horizontal="left" vertical="center" indent="1"/>
    </xf>
    <xf numFmtId="170" fontId="18" fillId="13" borderId="12" xfId="0" applyNumberFormat="1" applyFont="1" applyFill="1" applyBorder="1" applyAlignment="1">
      <alignment horizontal="center" vertical="center"/>
    </xf>
    <xf numFmtId="170" fontId="18" fillId="4" borderId="24" xfId="0" applyNumberFormat="1" applyFont="1" applyFill="1" applyBorder="1" applyAlignment="1">
      <alignment horizontal="center" vertical="center"/>
    </xf>
    <xf numFmtId="171" fontId="18" fillId="13" borderId="1" xfId="1" applyNumberFormat="1" applyFont="1" applyFill="1" applyBorder="1" applyAlignment="1">
      <alignment horizontal="center" vertical="center"/>
    </xf>
    <xf numFmtId="171" fontId="18" fillId="13" borderId="7" xfId="1" applyNumberFormat="1" applyFont="1" applyFill="1" applyBorder="1" applyAlignment="1">
      <alignment horizontal="center" vertical="center"/>
    </xf>
    <xf numFmtId="171" fontId="18" fillId="13" borderId="12" xfId="1" applyNumberFormat="1" applyFont="1" applyFill="1" applyBorder="1" applyAlignment="1">
      <alignment horizontal="center" vertical="center"/>
    </xf>
    <xf numFmtId="171" fontId="18" fillId="13" borderId="25" xfId="1" applyNumberFormat="1" applyFont="1" applyFill="1" applyBorder="1" applyAlignment="1">
      <alignment horizontal="center" vertical="center"/>
    </xf>
    <xf numFmtId="171" fontId="18" fillId="13" borderId="11" xfId="0" applyNumberFormat="1" applyFont="1" applyFill="1" applyBorder="1" applyAlignment="1">
      <alignment horizontal="center" vertical="center"/>
    </xf>
    <xf numFmtId="170" fontId="33" fillId="13" borderId="123" xfId="0" applyNumberFormat="1" applyFont="1" applyFill="1" applyBorder="1" applyAlignment="1">
      <alignment horizontal="center" vertical="center"/>
    </xf>
    <xf numFmtId="170" fontId="33" fillId="13" borderId="127" xfId="0" applyNumberFormat="1" applyFont="1" applyFill="1" applyBorder="1" applyAlignment="1">
      <alignment horizontal="center" vertical="center"/>
    </xf>
    <xf numFmtId="170" fontId="33" fillId="13" borderId="1" xfId="0" applyNumberFormat="1" applyFont="1" applyFill="1" applyBorder="1" applyAlignment="1">
      <alignment horizontal="center" vertical="center"/>
    </xf>
    <xf numFmtId="0" fontId="18" fillId="13" borderId="0" xfId="0" applyFont="1" applyFill="1" applyBorder="1" applyAlignment="1">
      <alignment horizontal="left" vertical="center"/>
    </xf>
    <xf numFmtId="0" fontId="18" fillId="13" borderId="0" xfId="0" applyFont="1" applyFill="1" applyBorder="1" applyAlignment="1">
      <alignment horizontal="left" vertical="center" wrapText="1" indent="1"/>
    </xf>
    <xf numFmtId="0" fontId="4" fillId="4" borderId="0" xfId="0" applyFont="1" applyFill="1" applyAlignment="1">
      <alignment horizontal="right" vertical="center" wrapText="1"/>
    </xf>
    <xf numFmtId="166" fontId="33" fillId="4" borderId="10" xfId="0" applyNumberFormat="1" applyFont="1" applyFill="1" applyBorder="1" applyAlignment="1">
      <alignment horizontal="center" vertical="center"/>
    </xf>
    <xf numFmtId="0" fontId="33" fillId="4" borderId="10" xfId="0" applyFont="1" applyFill="1" applyBorder="1" applyAlignment="1">
      <alignment horizontal="center" vertical="center" wrapText="1"/>
    </xf>
    <xf numFmtId="0" fontId="59" fillId="4" borderId="18" xfId="0" applyFont="1" applyFill="1" applyBorder="1" applyAlignment="1">
      <alignment horizontal="left" vertical="center" indent="1"/>
    </xf>
    <xf numFmtId="170" fontId="51" fillId="9" borderId="0" xfId="0" applyNumberFormat="1" applyFont="1" applyFill="1" applyBorder="1" applyAlignment="1">
      <alignment horizontal="center" vertical="center"/>
    </xf>
    <xf numFmtId="170" fontId="33" fillId="4" borderId="0" xfId="0" applyNumberFormat="1" applyFont="1" applyFill="1" applyBorder="1" applyAlignment="1">
      <alignment horizontal="center" vertical="center"/>
    </xf>
    <xf numFmtId="0" fontId="45" fillId="5" borderId="0" xfId="0" applyFont="1" applyFill="1" applyBorder="1" applyAlignment="1">
      <alignment horizontal="right" vertical="center"/>
    </xf>
    <xf numFmtId="0" fontId="44" fillId="9" borderId="36" xfId="0" applyFont="1" applyFill="1" applyBorder="1" applyAlignment="1">
      <alignment horizontal="center" vertical="center" wrapText="1" readingOrder="1"/>
    </xf>
    <xf numFmtId="170" fontId="33" fillId="4" borderId="6" xfId="0" applyNumberFormat="1" applyFont="1" applyFill="1" applyBorder="1" applyAlignment="1">
      <alignment horizontal="center" vertical="center"/>
    </xf>
    <xf numFmtId="170" fontId="33" fillId="4" borderId="22" xfId="0" applyNumberFormat="1" applyFont="1" applyFill="1" applyBorder="1" applyAlignment="1">
      <alignment horizontal="center" vertical="center"/>
    </xf>
    <xf numFmtId="0" fontId="33" fillId="4" borderId="10" xfId="0" applyFont="1" applyFill="1" applyBorder="1" applyAlignment="1">
      <alignment horizontal="center" vertical="center" wrapText="1"/>
    </xf>
    <xf numFmtId="170" fontId="33" fillId="4" borderId="17" xfId="0" applyNumberFormat="1" applyFont="1" applyFill="1" applyBorder="1" applyAlignment="1">
      <alignment horizontal="center" vertical="center"/>
    </xf>
    <xf numFmtId="170" fontId="46" fillId="4" borderId="22" xfId="0" applyNumberFormat="1" applyFont="1" applyFill="1" applyBorder="1" applyAlignment="1">
      <alignment horizontal="center" vertical="center"/>
    </xf>
    <xf numFmtId="170" fontId="51" fillId="9" borderId="0" xfId="0" applyNumberFormat="1" applyFont="1" applyFill="1" applyBorder="1" applyAlignment="1">
      <alignment horizontal="center" vertical="center" wrapText="1"/>
    </xf>
    <xf numFmtId="170" fontId="46" fillId="4" borderId="17" xfId="0" applyNumberFormat="1" applyFont="1" applyFill="1" applyBorder="1" applyAlignment="1">
      <alignment horizontal="center" vertical="center"/>
    </xf>
    <xf numFmtId="170" fontId="73" fillId="4" borderId="1" xfId="0" applyNumberFormat="1" applyFont="1" applyFill="1" applyBorder="1" applyAlignment="1">
      <alignment horizontal="center" vertical="center"/>
    </xf>
    <xf numFmtId="170" fontId="73" fillId="4" borderId="11" xfId="0" applyNumberFormat="1" applyFont="1" applyFill="1" applyBorder="1" applyAlignment="1">
      <alignment horizontal="center" vertical="center"/>
    </xf>
    <xf numFmtId="170" fontId="33" fillId="4" borderId="0" xfId="0" applyNumberFormat="1" applyFont="1" applyFill="1" applyBorder="1" applyAlignment="1">
      <alignment horizontal="center" vertical="center"/>
    </xf>
    <xf numFmtId="0" fontId="51" fillId="4" borderId="0" xfId="0" applyFont="1" applyFill="1" applyBorder="1" applyAlignment="1">
      <alignment horizontal="center" vertical="center" wrapText="1"/>
    </xf>
    <xf numFmtId="0" fontId="44" fillId="4" borderId="0" xfId="0" applyFont="1" applyFill="1" applyBorder="1" applyAlignment="1">
      <alignment horizontal="center" vertical="center" wrapText="1" readingOrder="1"/>
    </xf>
    <xf numFmtId="170" fontId="33" fillId="4" borderId="0" xfId="0" applyNumberFormat="1" applyFont="1" applyFill="1" applyBorder="1" applyAlignment="1">
      <alignment horizontal="center" vertical="center" wrapText="1"/>
    </xf>
    <xf numFmtId="170" fontId="22" fillId="4" borderId="0" xfId="0" applyNumberFormat="1" applyFont="1" applyFill="1" applyBorder="1" applyAlignment="1">
      <alignment horizontal="center" vertical="center" wrapText="1"/>
    </xf>
    <xf numFmtId="170" fontId="33" fillId="4" borderId="0" xfId="0" applyNumberFormat="1" applyFont="1" applyFill="1" applyBorder="1" applyAlignment="1">
      <alignment horizontal="center" vertical="center" wrapText="1"/>
    </xf>
    <xf numFmtId="0" fontId="75" fillId="4" borderId="0" xfId="0" applyFont="1" applyFill="1" applyBorder="1" applyAlignment="1">
      <alignment horizontal="center" vertical="center" wrapText="1"/>
    </xf>
    <xf numFmtId="0" fontId="33" fillId="4" borderId="0" xfId="0" applyFont="1" applyFill="1" applyBorder="1" applyAlignment="1">
      <alignment horizontal="center" vertical="center" wrapText="1"/>
    </xf>
    <xf numFmtId="0" fontId="33" fillId="4" borderId="26" xfId="0" applyFont="1" applyFill="1" applyBorder="1" applyAlignment="1">
      <alignment horizontal="center" vertical="center" wrapText="1"/>
    </xf>
    <xf numFmtId="0" fontId="33" fillId="4" borderId="26" xfId="0" applyFont="1" applyFill="1" applyBorder="1" applyAlignment="1">
      <alignment horizontal="left" vertical="center" wrapText="1" indent="1"/>
    </xf>
    <xf numFmtId="170" fontId="33" fillId="4" borderId="26" xfId="0" applyNumberFormat="1" applyFont="1" applyFill="1" applyBorder="1" applyAlignment="1">
      <alignment horizontal="center" vertical="center"/>
    </xf>
    <xf numFmtId="0" fontId="59" fillId="4" borderId="0" xfId="0" applyFont="1" applyFill="1" applyBorder="1" applyAlignment="1">
      <alignment horizontal="left" vertical="center" wrapText="1" indent="1"/>
    </xf>
    <xf numFmtId="0" fontId="33" fillId="4" borderId="142" xfId="0" applyFont="1" applyFill="1" applyBorder="1" applyAlignment="1">
      <alignment horizontal="center" vertical="center" wrapText="1"/>
    </xf>
    <xf numFmtId="166" fontId="33" fillId="4" borderId="8" xfId="0" applyNumberFormat="1" applyFont="1" applyFill="1" applyBorder="1" applyAlignment="1">
      <alignment horizontal="center" vertical="center"/>
    </xf>
    <xf numFmtId="170" fontId="33" fillId="4" borderId="0" xfId="0" applyNumberFormat="1" applyFont="1" applyFill="1" applyBorder="1" applyAlignment="1">
      <alignment horizontal="center" vertical="center" wrapText="1"/>
    </xf>
    <xf numFmtId="0" fontId="33" fillId="22" borderId="0" xfId="0" applyFont="1" applyFill="1" applyBorder="1" applyAlignment="1">
      <alignment horizontal="center" vertical="center" textRotation="90"/>
    </xf>
    <xf numFmtId="0" fontId="44" fillId="4" borderId="0" xfId="0" applyFont="1" applyFill="1" applyBorder="1" applyAlignment="1">
      <alignment vertical="center" wrapText="1" readingOrder="1"/>
    </xf>
    <xf numFmtId="170" fontId="33" fillId="4" borderId="0" xfId="0" applyNumberFormat="1" applyFont="1" applyFill="1" applyBorder="1" applyAlignment="1">
      <alignment vertical="center"/>
    </xf>
    <xf numFmtId="0" fontId="44" fillId="9" borderId="45" xfId="0" applyFont="1" applyFill="1" applyBorder="1" applyAlignment="1">
      <alignment horizontal="center" vertical="center" wrapText="1" readingOrder="1"/>
    </xf>
    <xf numFmtId="0" fontId="44" fillId="4" borderId="0" xfId="0" applyFont="1" applyFill="1" applyBorder="1" applyAlignment="1">
      <alignment vertical="center"/>
    </xf>
    <xf numFmtId="0" fontId="29" fillId="4" borderId="44" xfId="0" applyFont="1" applyFill="1" applyBorder="1"/>
    <xf numFmtId="0" fontId="29" fillId="4" borderId="0" xfId="0" applyFont="1" applyFill="1"/>
    <xf numFmtId="0" fontId="29" fillId="4" borderId="0" xfId="0" applyFont="1" applyFill="1" applyBorder="1"/>
    <xf numFmtId="0" fontId="46" fillId="4" borderId="8" xfId="0" applyFont="1" applyFill="1" applyBorder="1" applyAlignment="1">
      <alignment horizontal="center" vertical="center"/>
    </xf>
    <xf numFmtId="0" fontId="46" fillId="4" borderId="9" xfId="0" applyFont="1" applyFill="1" applyBorder="1" applyAlignment="1">
      <alignment horizontal="center" vertical="center"/>
    </xf>
    <xf numFmtId="170" fontId="33" fillId="13" borderId="12" xfId="0" applyNumberFormat="1" applyFont="1" applyFill="1" applyBorder="1" applyAlignment="1">
      <alignment horizontal="center" vertical="center"/>
    </xf>
    <xf numFmtId="0" fontId="33" fillId="4" borderId="0" xfId="0" applyFont="1" applyFill="1" applyBorder="1" applyAlignment="1">
      <alignment horizontal="left" vertical="center" wrapText="1" indent="1"/>
    </xf>
    <xf numFmtId="170" fontId="33" fillId="4" borderId="17" xfId="0" applyNumberFormat="1" applyFont="1" applyFill="1" applyBorder="1" applyAlignment="1">
      <alignment horizontal="center" vertical="center"/>
    </xf>
    <xf numFmtId="0" fontId="33" fillId="4" borderId="8" xfId="0" applyFont="1" applyFill="1" applyBorder="1" applyAlignment="1">
      <alignment horizontal="center" vertical="center"/>
    </xf>
    <xf numFmtId="170" fontId="33" fillId="13" borderId="7" xfId="0" applyNumberFormat="1" applyFont="1" applyFill="1" applyBorder="1" applyAlignment="1">
      <alignment horizontal="center" vertical="center"/>
    </xf>
    <xf numFmtId="170" fontId="33" fillId="13" borderId="13" xfId="0" applyNumberFormat="1" applyFont="1" applyFill="1" applyBorder="1" applyAlignment="1">
      <alignment horizontal="center" vertical="center"/>
    </xf>
    <xf numFmtId="170" fontId="33" fillId="4" borderId="0" xfId="0" applyNumberFormat="1" applyFont="1" applyFill="1" applyBorder="1" applyAlignment="1">
      <alignment horizontal="center" vertical="center"/>
    </xf>
    <xf numFmtId="0" fontId="33" fillId="4" borderId="0" xfId="0" applyFont="1" applyFill="1" applyBorder="1" applyAlignment="1">
      <alignment horizontal="center" vertical="center" wrapText="1"/>
    </xf>
    <xf numFmtId="0" fontId="46" fillId="4" borderId="10" xfId="0" applyFont="1" applyFill="1" applyBorder="1" applyAlignment="1">
      <alignment horizontal="center" vertical="center"/>
    </xf>
    <xf numFmtId="170" fontId="33" fillId="4" borderId="0" xfId="0" applyNumberFormat="1" applyFont="1" applyFill="1" applyBorder="1" applyAlignment="1">
      <alignment vertical="center"/>
    </xf>
    <xf numFmtId="0" fontId="44" fillId="9" borderId="0" xfId="0" applyFont="1" applyFill="1" applyBorder="1" applyAlignment="1">
      <alignment vertical="center" wrapText="1" readingOrder="1"/>
    </xf>
    <xf numFmtId="0" fontId="33" fillId="4" borderId="32" xfId="0" applyFont="1" applyFill="1" applyBorder="1" applyAlignment="1">
      <alignment horizontal="center" vertical="center" wrapText="1"/>
    </xf>
    <xf numFmtId="0" fontId="33" fillId="4" borderId="24" xfId="0" applyFont="1" applyFill="1" applyBorder="1" applyAlignment="1">
      <alignment horizontal="center" vertical="center" wrapText="1"/>
    </xf>
    <xf numFmtId="0" fontId="33" fillId="4" borderId="22" xfId="0" applyFont="1" applyFill="1" applyBorder="1" applyAlignment="1">
      <alignment horizontal="center" vertical="center" wrapText="1"/>
    </xf>
    <xf numFmtId="170" fontId="33" fillId="13" borderId="152" xfId="0" applyNumberFormat="1" applyFont="1" applyFill="1" applyBorder="1" applyAlignment="1">
      <alignment horizontal="center" vertical="center"/>
    </xf>
    <xf numFmtId="170" fontId="33" fillId="4" borderId="0" xfId="0" applyNumberFormat="1" applyFont="1" applyFill="1" applyBorder="1" applyAlignment="1">
      <alignment horizontal="center" vertical="center"/>
    </xf>
    <xf numFmtId="0" fontId="77" fillId="4" borderId="0" xfId="0" applyFont="1" applyFill="1" applyAlignment="1">
      <alignment horizontal="left" indent="1"/>
    </xf>
    <xf numFmtId="166" fontId="33" fillId="4" borderId="10" xfId="0" applyNumberFormat="1" applyFont="1" applyFill="1" applyBorder="1" applyAlignment="1">
      <alignment horizontal="center" vertical="center"/>
    </xf>
    <xf numFmtId="0" fontId="51" fillId="9" borderId="0" xfId="0" applyFont="1" applyFill="1" applyBorder="1" applyAlignment="1">
      <alignment horizontal="center" vertical="center"/>
    </xf>
    <xf numFmtId="0" fontId="47" fillId="27" borderId="120" xfId="0" applyNumberFormat="1" applyFont="1" applyFill="1" applyBorder="1" applyAlignment="1">
      <alignment horizontal="center" vertical="center" wrapText="1"/>
    </xf>
    <xf numFmtId="0" fontId="44" fillId="20" borderId="0" xfId="0" applyFont="1" applyFill="1" applyBorder="1" applyAlignment="1">
      <alignment horizontal="center" vertical="center"/>
    </xf>
    <xf numFmtId="0" fontId="18" fillId="4" borderId="17" xfId="0" applyFont="1" applyFill="1" applyBorder="1" applyAlignment="1">
      <alignment horizontal="left" vertical="center" wrapText="1" indent="1"/>
    </xf>
    <xf numFmtId="0" fontId="18" fillId="4" borderId="29" xfId="0" applyFont="1" applyFill="1" applyBorder="1" applyAlignment="1">
      <alignment horizontal="left" vertical="center" wrapText="1" indent="1"/>
    </xf>
    <xf numFmtId="0" fontId="44" fillId="9" borderId="36" xfId="0" applyFont="1" applyFill="1" applyBorder="1" applyAlignment="1">
      <alignment horizontal="center" vertical="center" wrapText="1" readingOrder="1"/>
    </xf>
    <xf numFmtId="0" fontId="44" fillId="29" borderId="136" xfId="0" applyFont="1" applyFill="1" applyBorder="1" applyAlignment="1">
      <alignment horizontal="center" vertical="center" wrapText="1" readingOrder="1"/>
    </xf>
    <xf numFmtId="0" fontId="44" fillId="20" borderId="139" xfId="0" applyFont="1" applyFill="1" applyBorder="1" applyAlignment="1">
      <alignment horizontal="center" vertical="center"/>
    </xf>
    <xf numFmtId="0" fontId="44" fillId="21" borderId="145" xfId="0" applyFont="1" applyFill="1" applyBorder="1" applyAlignment="1">
      <alignment horizontal="center" vertical="center" wrapText="1" readingOrder="1"/>
    </xf>
    <xf numFmtId="0" fontId="44" fillId="29" borderId="135" xfId="0" applyFont="1" applyFill="1" applyBorder="1" applyAlignment="1">
      <alignment horizontal="center" vertical="center" wrapText="1" readingOrder="1"/>
    </xf>
    <xf numFmtId="0" fontId="44" fillId="9" borderId="45" xfId="0" applyFont="1" applyFill="1" applyBorder="1" applyAlignment="1">
      <alignment horizontal="center" vertical="center" wrapText="1" readingOrder="1"/>
    </xf>
    <xf numFmtId="0" fontId="44" fillId="20" borderId="141" xfId="0" applyFont="1" applyFill="1" applyBorder="1" applyAlignment="1">
      <alignment horizontal="center" vertical="center"/>
    </xf>
    <xf numFmtId="0" fontId="44" fillId="20" borderId="140" xfId="0" applyFont="1" applyFill="1" applyBorder="1" applyAlignment="1">
      <alignment horizontal="center" vertical="center"/>
    </xf>
    <xf numFmtId="0" fontId="44" fillId="21" borderId="146" xfId="0" applyFont="1" applyFill="1" applyBorder="1" applyAlignment="1">
      <alignment horizontal="center" vertical="center" wrapText="1" readingOrder="1"/>
    </xf>
    <xf numFmtId="170" fontId="33" fillId="4" borderId="17" xfId="0" applyNumberFormat="1" applyFont="1" applyFill="1" applyBorder="1" applyAlignment="1">
      <alignment horizontal="center" vertical="center"/>
    </xf>
    <xf numFmtId="170" fontId="33" fillId="4" borderId="21" xfId="0" applyNumberFormat="1" applyFont="1" applyFill="1" applyBorder="1" applyAlignment="1">
      <alignment horizontal="center" vertical="center"/>
    </xf>
    <xf numFmtId="0" fontId="44" fillId="9" borderId="35" xfId="0" applyFont="1" applyFill="1" applyBorder="1" applyAlignment="1">
      <alignment horizontal="center" vertical="center" wrapText="1"/>
    </xf>
    <xf numFmtId="170" fontId="33" fillId="4" borderId="18" xfId="0" applyNumberFormat="1" applyFont="1" applyFill="1" applyBorder="1" applyAlignment="1">
      <alignment horizontal="center" vertical="center"/>
    </xf>
    <xf numFmtId="170" fontId="46" fillId="0" borderId="21" xfId="0" applyNumberFormat="1" applyFont="1" applyFill="1" applyBorder="1" applyAlignment="1">
      <alignment horizontal="center" vertical="center" wrapText="1"/>
    </xf>
    <xf numFmtId="170" fontId="46" fillId="13" borderId="7" xfId="0" applyNumberFormat="1" applyFont="1" applyFill="1" applyBorder="1" applyAlignment="1">
      <alignment horizontal="center" vertical="center" wrapText="1"/>
    </xf>
    <xf numFmtId="170" fontId="22" fillId="4" borderId="116" xfId="0" applyNumberFormat="1" applyFont="1" applyFill="1" applyBorder="1" applyAlignment="1">
      <alignment horizontal="center" vertical="center"/>
    </xf>
    <xf numFmtId="0" fontId="77" fillId="4" borderId="1" xfId="0" applyFont="1" applyFill="1" applyBorder="1" applyAlignment="1">
      <alignment horizontal="left" indent="1"/>
    </xf>
    <xf numFmtId="0" fontId="22" fillId="4" borderId="115" xfId="0" applyFont="1" applyFill="1" applyBorder="1" applyAlignment="1">
      <alignment horizontal="center" vertical="center"/>
    </xf>
    <xf numFmtId="170" fontId="22" fillId="7" borderId="29" xfId="0" applyNumberFormat="1" applyFont="1" applyFill="1" applyBorder="1" applyAlignment="1">
      <alignment horizontal="center" vertical="center" wrapText="1"/>
    </xf>
    <xf numFmtId="0" fontId="22" fillId="7" borderId="158" xfId="0" applyNumberFormat="1" applyFont="1" applyFill="1" applyBorder="1" applyAlignment="1">
      <alignment horizontal="center" vertical="center" wrapText="1"/>
    </xf>
    <xf numFmtId="170" fontId="22" fillId="32" borderId="12" xfId="0" applyNumberFormat="1" applyFont="1" applyFill="1" applyBorder="1" applyAlignment="1">
      <alignment horizontal="center" vertical="center" wrapText="1"/>
    </xf>
    <xf numFmtId="0" fontId="18" fillId="4" borderId="8" xfId="0" applyFont="1" applyFill="1" applyBorder="1" applyAlignment="1">
      <alignment horizontal="center" vertical="center"/>
    </xf>
    <xf numFmtId="0" fontId="51" fillId="9" borderId="36" xfId="0" applyFont="1" applyFill="1" applyBorder="1" applyAlignment="1">
      <alignment horizontal="center" vertical="center"/>
    </xf>
    <xf numFmtId="0" fontId="51" fillId="9" borderId="45" xfId="0" applyFont="1" applyFill="1" applyBorder="1" applyAlignment="1">
      <alignment horizontal="center" vertical="center"/>
    </xf>
    <xf numFmtId="170" fontId="18" fillId="13" borderId="12" xfId="0" applyNumberFormat="1" applyFont="1" applyFill="1" applyBorder="1" applyAlignment="1">
      <alignment horizontal="center" vertical="center" wrapText="1"/>
    </xf>
    <xf numFmtId="170" fontId="18" fillId="4" borderId="151" xfId="0" applyNumberFormat="1" applyFont="1" applyFill="1" applyBorder="1" applyAlignment="1">
      <alignment horizontal="center" vertical="center" wrapText="1"/>
    </xf>
    <xf numFmtId="0" fontId="78" fillId="27" borderId="119" xfId="0" applyNumberFormat="1" applyFont="1" applyFill="1" applyBorder="1" applyAlignment="1">
      <alignment horizontal="center" vertical="center" wrapText="1"/>
    </xf>
    <xf numFmtId="0" fontId="78" fillId="27" borderId="126" xfId="0" applyNumberFormat="1" applyFont="1" applyFill="1" applyBorder="1" applyAlignment="1">
      <alignment horizontal="center" vertical="center" wrapText="1"/>
    </xf>
    <xf numFmtId="0" fontId="51" fillId="14" borderId="136" xfId="0" applyFont="1" applyFill="1" applyBorder="1" applyAlignment="1">
      <alignment horizontal="center" vertical="center"/>
    </xf>
    <xf numFmtId="0" fontId="79" fillId="14" borderId="135" xfId="0" applyFont="1" applyFill="1" applyBorder="1" applyAlignment="1">
      <alignment horizontal="center" vertical="center"/>
    </xf>
    <xf numFmtId="0" fontId="22" fillId="4" borderId="161" xfId="0" applyFont="1" applyFill="1" applyBorder="1" applyAlignment="1">
      <alignment horizontal="center" vertical="center"/>
    </xf>
    <xf numFmtId="170" fontId="22" fillId="4" borderId="153" xfId="0" applyNumberFormat="1" applyFont="1" applyFill="1" applyBorder="1" applyAlignment="1">
      <alignment horizontal="center" vertical="center"/>
    </xf>
    <xf numFmtId="170" fontId="33" fillId="13" borderId="154" xfId="0" applyNumberFormat="1" applyFont="1" applyFill="1" applyBorder="1" applyAlignment="1">
      <alignment horizontal="center" vertical="center"/>
    </xf>
    <xf numFmtId="170" fontId="33" fillId="13" borderId="38" xfId="0" applyNumberFormat="1" applyFont="1" applyFill="1" applyBorder="1" applyAlignment="1">
      <alignment horizontal="center" vertical="center"/>
    </xf>
    <xf numFmtId="170" fontId="51" fillId="23" borderId="0" xfId="0" applyNumberFormat="1" applyFont="1" applyFill="1" applyBorder="1" applyAlignment="1">
      <alignment horizontal="center" vertical="center"/>
    </xf>
    <xf numFmtId="0" fontId="29" fillId="4" borderId="36" xfId="0" applyFont="1" applyFill="1" applyBorder="1"/>
    <xf numFmtId="171" fontId="18" fillId="4" borderId="17" xfId="0" applyNumberFormat="1" applyFont="1" applyFill="1" applyBorder="1" applyAlignment="1">
      <alignment horizontal="center" vertical="center" wrapText="1"/>
    </xf>
    <xf numFmtId="171" fontId="18" fillId="4" borderId="6" xfId="0" applyNumberFormat="1" applyFont="1" applyFill="1" applyBorder="1" applyAlignment="1">
      <alignment horizontal="center" vertical="center" wrapText="1"/>
    </xf>
    <xf numFmtId="171" fontId="18" fillId="4" borderId="22" xfId="0" applyNumberFormat="1" applyFont="1" applyFill="1" applyBorder="1" applyAlignment="1">
      <alignment horizontal="center" vertical="center" wrapText="1"/>
    </xf>
    <xf numFmtId="171" fontId="18" fillId="13" borderId="12" xfId="0" applyNumberFormat="1" applyFont="1" applyFill="1" applyBorder="1" applyAlignment="1">
      <alignment horizontal="center" vertical="center" wrapText="1"/>
    </xf>
    <xf numFmtId="171" fontId="18" fillId="13" borderId="7" xfId="0" applyNumberFormat="1" applyFont="1" applyFill="1" applyBorder="1" applyAlignment="1">
      <alignment horizontal="center" vertical="center" wrapText="1"/>
    </xf>
    <xf numFmtId="171" fontId="18" fillId="13" borderId="13" xfId="0" applyNumberFormat="1" applyFont="1" applyFill="1" applyBorder="1" applyAlignment="1">
      <alignment horizontal="center" vertical="center" wrapText="1"/>
    </xf>
    <xf numFmtId="171" fontId="18" fillId="13" borderId="11" xfId="1" applyNumberFormat="1" applyFont="1" applyFill="1" applyBorder="1" applyAlignment="1">
      <alignment horizontal="center" vertical="center"/>
    </xf>
    <xf numFmtId="170" fontId="33" fillId="4" borderId="153" xfId="0" applyNumberFormat="1" applyFont="1" applyFill="1" applyBorder="1" applyAlignment="1">
      <alignment horizontal="center" vertical="center"/>
    </xf>
    <xf numFmtId="0" fontId="44" fillId="30" borderId="163" xfId="0" applyFont="1" applyFill="1" applyBorder="1" applyAlignment="1">
      <alignment horizontal="center" vertical="center" wrapText="1" readingOrder="1"/>
    </xf>
    <xf numFmtId="0" fontId="44" fillId="30" borderId="164" xfId="0" applyFont="1" applyFill="1" applyBorder="1" applyAlignment="1">
      <alignment horizontal="center" vertical="center" wrapText="1" readingOrder="1"/>
    </xf>
    <xf numFmtId="170" fontId="33" fillId="4" borderId="8" xfId="0" applyNumberFormat="1" applyFont="1" applyFill="1" applyBorder="1" applyAlignment="1">
      <alignment horizontal="center" vertical="center"/>
    </xf>
    <xf numFmtId="170" fontId="33" fillId="4" borderId="143" xfId="0" applyNumberFormat="1" applyFont="1" applyFill="1" applyBorder="1" applyAlignment="1">
      <alignment horizontal="center" vertical="center"/>
    </xf>
    <xf numFmtId="170" fontId="33" fillId="13" borderId="144" xfId="0" applyNumberFormat="1" applyFont="1" applyFill="1" applyBorder="1" applyAlignment="1">
      <alignment horizontal="center" vertical="center"/>
    </xf>
    <xf numFmtId="166" fontId="33" fillId="4" borderId="9" xfId="0" applyNumberFormat="1" applyFont="1" applyFill="1" applyBorder="1" applyAlignment="1">
      <alignment horizontal="center" vertical="center"/>
    </xf>
    <xf numFmtId="170" fontId="33" fillId="4" borderId="155" xfId="0" applyNumberFormat="1" applyFont="1" applyFill="1" applyBorder="1" applyAlignment="1">
      <alignment horizontal="center" vertical="center"/>
    </xf>
    <xf numFmtId="0" fontId="33" fillId="4" borderId="167" xfId="0" applyFont="1" applyFill="1" applyBorder="1" applyAlignment="1">
      <alignment horizontal="center" vertical="center" wrapText="1"/>
    </xf>
    <xf numFmtId="170" fontId="33" fillId="13" borderId="168" xfId="0" applyNumberFormat="1" applyFont="1" applyFill="1" applyBorder="1" applyAlignment="1">
      <alignment horizontal="center" vertical="center"/>
    </xf>
    <xf numFmtId="170" fontId="33" fillId="4" borderId="151" xfId="0" applyNumberFormat="1" applyFont="1" applyFill="1" applyBorder="1" applyAlignment="1">
      <alignment horizontal="center" vertical="center"/>
    </xf>
    <xf numFmtId="170" fontId="76" fillId="5" borderId="118" xfId="0" applyNumberFormat="1" applyFont="1" applyFill="1" applyBorder="1" applyAlignment="1">
      <alignment horizontal="center" vertical="center"/>
    </xf>
    <xf numFmtId="170" fontId="80" fillId="5" borderId="126" xfId="0" applyNumberFormat="1" applyFont="1" applyFill="1" applyBorder="1" applyAlignment="1">
      <alignment horizontal="center" vertical="center"/>
    </xf>
    <xf numFmtId="0" fontId="81" fillId="9" borderId="45" xfId="0" applyFont="1" applyFill="1" applyBorder="1" applyAlignment="1">
      <alignment horizontal="center" vertical="center" wrapText="1" readingOrder="1"/>
    </xf>
    <xf numFmtId="170" fontId="33" fillId="0" borderId="143" xfId="0" applyNumberFormat="1" applyFont="1" applyFill="1" applyBorder="1" applyAlignment="1">
      <alignment horizontal="center" vertical="center"/>
    </xf>
    <xf numFmtId="170" fontId="33" fillId="4" borderId="8" xfId="8" applyNumberFormat="1" applyFont="1" applyFill="1" applyBorder="1" applyAlignment="1">
      <alignment horizontal="center" vertical="center"/>
    </xf>
    <xf numFmtId="170" fontId="33" fillId="4" borderId="9" xfId="8" applyNumberFormat="1" applyFont="1" applyFill="1" applyBorder="1" applyAlignment="1">
      <alignment horizontal="center" vertical="center"/>
    </xf>
    <xf numFmtId="170" fontId="33" fillId="4" borderId="5" xfId="8" applyNumberFormat="1" applyFont="1" applyFill="1" applyBorder="1" applyAlignment="1">
      <alignment horizontal="center" vertical="center"/>
    </xf>
    <xf numFmtId="166" fontId="33" fillId="4" borderId="162" xfId="0" applyNumberFormat="1" applyFont="1" applyFill="1" applyBorder="1" applyAlignment="1">
      <alignment horizontal="center" vertical="center"/>
    </xf>
    <xf numFmtId="170" fontId="33" fillId="0" borderId="6" xfId="8" applyNumberFormat="1" applyFont="1" applyFill="1" applyBorder="1" applyAlignment="1">
      <alignment horizontal="center" vertical="center"/>
    </xf>
    <xf numFmtId="170" fontId="33" fillId="0" borderId="9" xfId="8" applyNumberFormat="1" applyFont="1" applyFill="1" applyBorder="1" applyAlignment="1">
      <alignment horizontal="center" vertical="center"/>
    </xf>
    <xf numFmtId="0" fontId="18" fillId="4" borderId="0" xfId="0" applyFont="1" applyFill="1" applyAlignment="1">
      <alignment vertical="center"/>
    </xf>
    <xf numFmtId="170" fontId="22" fillId="4" borderId="6" xfId="0" applyNumberFormat="1" applyFont="1" applyFill="1" applyBorder="1" applyAlignment="1">
      <alignment horizontal="center" vertical="center"/>
    </xf>
    <xf numFmtId="170" fontId="22" fillId="4" borderId="18" xfId="0" applyNumberFormat="1" applyFont="1" applyFill="1" applyBorder="1" applyAlignment="1">
      <alignment horizontal="center" vertical="center"/>
    </xf>
    <xf numFmtId="0" fontId="44" fillId="9" borderId="45" xfId="0" applyFont="1" applyFill="1" applyBorder="1" applyAlignment="1">
      <alignment horizontal="center" vertical="center" wrapText="1" readingOrder="1"/>
    </xf>
    <xf numFmtId="0" fontId="44" fillId="9" borderId="36" xfId="0" applyFont="1" applyFill="1" applyBorder="1" applyAlignment="1">
      <alignment horizontal="center" vertical="center" wrapText="1" readingOrder="1"/>
    </xf>
    <xf numFmtId="0" fontId="33" fillId="4" borderId="1" xfId="0" applyFont="1" applyFill="1" applyBorder="1" applyAlignment="1">
      <alignment horizontal="left" vertical="center" wrapText="1" indent="1"/>
    </xf>
    <xf numFmtId="0" fontId="44" fillId="9" borderId="36" xfId="0" applyFont="1" applyFill="1" applyBorder="1" applyAlignment="1">
      <alignment horizontal="center" vertical="center"/>
    </xf>
    <xf numFmtId="0" fontId="33" fillId="4" borderId="18" xfId="0" applyFont="1" applyFill="1" applyBorder="1" applyAlignment="1">
      <alignment horizontal="left" vertical="center" wrapText="1" indent="1"/>
    </xf>
    <xf numFmtId="0" fontId="33" fillId="4" borderId="11" xfId="0" applyFont="1" applyFill="1" applyBorder="1" applyAlignment="1">
      <alignment horizontal="left" vertical="center" wrapText="1" indent="1"/>
    </xf>
    <xf numFmtId="170" fontId="51" fillId="9" borderId="0" xfId="0" applyNumberFormat="1" applyFont="1" applyFill="1" applyBorder="1" applyAlignment="1">
      <alignment horizontal="center" vertical="center"/>
    </xf>
    <xf numFmtId="170" fontId="33" fillId="4" borderId="0" xfId="0" applyNumberFormat="1" applyFont="1" applyFill="1" applyBorder="1" applyAlignment="1">
      <alignment horizontal="center" vertical="center" wrapText="1"/>
    </xf>
    <xf numFmtId="0" fontId="44" fillId="20" borderId="139" xfId="0" applyFont="1" applyFill="1" applyBorder="1" applyAlignment="1">
      <alignment horizontal="center" vertical="center"/>
    </xf>
    <xf numFmtId="170" fontId="33" fillId="4" borderId="30" xfId="0" applyNumberFormat="1" applyFont="1" applyFill="1" applyBorder="1" applyAlignment="1">
      <alignment horizontal="center" vertical="center"/>
    </xf>
    <xf numFmtId="0" fontId="44" fillId="9" borderId="45" xfId="0" applyFont="1" applyFill="1" applyBorder="1" applyAlignment="1">
      <alignment horizontal="center" vertical="center"/>
    </xf>
    <xf numFmtId="0" fontId="29" fillId="4" borderId="30" xfId="0" applyFont="1" applyFill="1" applyBorder="1" applyAlignment="1">
      <alignment horizontal="center" vertical="center"/>
    </xf>
    <xf numFmtId="0" fontId="29" fillId="4" borderId="27" xfId="0" applyFont="1" applyFill="1" applyBorder="1" applyAlignment="1">
      <alignment horizontal="center" vertical="center"/>
    </xf>
    <xf numFmtId="0" fontId="33" fillId="4" borderId="169" xfId="0" applyFont="1" applyFill="1" applyBorder="1" applyAlignment="1">
      <alignment horizontal="center" vertical="center" wrapText="1"/>
    </xf>
    <xf numFmtId="170" fontId="33" fillId="4" borderId="170" xfId="0" applyNumberFormat="1" applyFont="1" applyFill="1" applyBorder="1" applyAlignment="1">
      <alignment horizontal="center" vertical="center"/>
    </xf>
    <xf numFmtId="170" fontId="33" fillId="13" borderId="171" xfId="0" applyNumberFormat="1" applyFont="1" applyFill="1" applyBorder="1" applyAlignment="1">
      <alignment horizontal="center" vertical="center"/>
    </xf>
    <xf numFmtId="170" fontId="82" fillId="4" borderId="173" xfId="0" applyNumberFormat="1" applyFont="1" applyFill="1" applyBorder="1" applyAlignment="1">
      <alignment horizontal="center" vertical="center" wrapText="1" readingOrder="1"/>
    </xf>
    <xf numFmtId="170" fontId="82" fillId="4" borderId="172" xfId="0" applyNumberFormat="1" applyFont="1" applyFill="1" applyBorder="1" applyAlignment="1">
      <alignment horizontal="center" vertical="center" wrapText="1" readingOrder="1"/>
    </xf>
    <xf numFmtId="170" fontId="82" fillId="4" borderId="3" xfId="0" applyNumberFormat="1" applyFont="1" applyFill="1" applyBorder="1" applyAlignment="1">
      <alignment horizontal="center" vertical="center" wrapText="1" readingOrder="1"/>
    </xf>
    <xf numFmtId="0" fontId="33" fillId="4" borderId="174" xfId="0" applyFont="1" applyFill="1" applyBorder="1" applyAlignment="1">
      <alignment horizontal="left" vertical="center" wrapText="1" indent="1"/>
    </xf>
    <xf numFmtId="0" fontId="33" fillId="4" borderId="80" xfId="0" applyFont="1" applyFill="1" applyBorder="1" applyAlignment="1">
      <alignment horizontal="left" vertical="center" wrapText="1" indent="1"/>
    </xf>
    <xf numFmtId="0" fontId="33" fillId="4" borderId="79" xfId="0" applyFont="1" applyFill="1" applyBorder="1" applyAlignment="1">
      <alignment horizontal="left" vertical="center" wrapText="1" indent="1"/>
    </xf>
    <xf numFmtId="0" fontId="33" fillId="4" borderId="80" xfId="0" applyFont="1" applyFill="1" applyBorder="1" applyAlignment="1">
      <alignment horizontal="center" vertical="center" wrapText="1"/>
    </xf>
    <xf numFmtId="173" fontId="82" fillId="4" borderId="18" xfId="38" applyNumberFormat="1" applyFont="1" applyFill="1" applyBorder="1" applyAlignment="1">
      <alignment horizontal="center" vertical="center"/>
    </xf>
    <xf numFmtId="173" fontId="82" fillId="4" borderId="79" xfId="38" applyNumberFormat="1" applyFont="1" applyFill="1" applyBorder="1" applyAlignment="1">
      <alignment horizontal="center" vertical="center"/>
    </xf>
    <xf numFmtId="173" fontId="82" fillId="4" borderId="80" xfId="38" applyNumberFormat="1" applyFont="1" applyFill="1" applyBorder="1" applyAlignment="1">
      <alignment horizontal="center" vertical="center"/>
    </xf>
    <xf numFmtId="0" fontId="33" fillId="4" borderId="176" xfId="0" applyFont="1" applyFill="1" applyBorder="1" applyAlignment="1">
      <alignment horizontal="center" vertical="center" wrapText="1"/>
    </xf>
    <xf numFmtId="170" fontId="33" fillId="4" borderId="177" xfId="0" applyNumberFormat="1" applyFont="1" applyFill="1" applyBorder="1" applyAlignment="1">
      <alignment horizontal="center" vertical="center"/>
    </xf>
    <xf numFmtId="170" fontId="33" fillId="13" borderId="178" xfId="0" applyNumberFormat="1" applyFont="1" applyFill="1" applyBorder="1" applyAlignment="1">
      <alignment horizontal="center" vertical="center"/>
    </xf>
    <xf numFmtId="173" fontId="82" fillId="4" borderId="11" xfId="38" applyNumberFormat="1" applyFont="1" applyFill="1" applyBorder="1" applyAlignment="1">
      <alignment horizontal="center" vertical="center"/>
    </xf>
    <xf numFmtId="170" fontId="46" fillId="4" borderId="11" xfId="0" applyNumberFormat="1" applyFont="1" applyFill="1" applyBorder="1" applyAlignment="1">
      <alignment horizontal="center" vertical="center"/>
    </xf>
    <xf numFmtId="170" fontId="33" fillId="4" borderId="2" xfId="0" applyNumberFormat="1" applyFont="1" applyFill="1" applyBorder="1" applyAlignment="1">
      <alignment vertical="center"/>
    </xf>
    <xf numFmtId="170" fontId="33" fillId="4" borderId="131" xfId="0" applyNumberFormat="1" applyFont="1" applyFill="1" applyBorder="1" applyAlignment="1">
      <alignment vertical="center"/>
    </xf>
    <xf numFmtId="170" fontId="33" fillId="4" borderId="30" xfId="0" applyNumberFormat="1" applyFont="1" applyFill="1" applyBorder="1" applyAlignment="1">
      <alignment horizontal="center" vertical="center"/>
    </xf>
    <xf numFmtId="170" fontId="33" fillId="4" borderId="2" xfId="0" applyNumberFormat="1" applyFont="1" applyFill="1" applyBorder="1" applyAlignment="1">
      <alignment horizontal="center" vertical="center"/>
    </xf>
    <xf numFmtId="170" fontId="84" fillId="4" borderId="174" xfId="0" applyNumberFormat="1" applyFont="1" applyFill="1" applyBorder="1" applyAlignment="1">
      <alignment horizontal="center" vertical="center"/>
    </xf>
    <xf numFmtId="170" fontId="84" fillId="4" borderId="1" xfId="0" applyNumberFormat="1" applyFont="1" applyFill="1" applyBorder="1" applyAlignment="1">
      <alignment horizontal="center" vertical="center"/>
    </xf>
    <xf numFmtId="170" fontId="84" fillId="4" borderId="175" xfId="0" applyNumberFormat="1" applyFont="1" applyFill="1" applyBorder="1" applyAlignment="1">
      <alignment horizontal="center" vertical="center"/>
    </xf>
    <xf numFmtId="170" fontId="18" fillId="4" borderId="2" xfId="0" applyNumberFormat="1" applyFont="1" applyFill="1" applyBorder="1" applyAlignment="1">
      <alignment horizontal="center" vertical="center"/>
    </xf>
    <xf numFmtId="170" fontId="33" fillId="4" borderId="0" xfId="0" applyNumberFormat="1" applyFont="1" applyFill="1" applyBorder="1" applyAlignment="1">
      <alignment horizontal="center" vertical="center" wrapText="1"/>
    </xf>
    <xf numFmtId="170" fontId="33" fillId="4" borderId="0" xfId="0" applyNumberFormat="1" applyFont="1" applyFill="1" applyBorder="1" applyAlignment="1">
      <alignment horizontal="center" vertical="center"/>
    </xf>
    <xf numFmtId="170" fontId="33" fillId="13" borderId="25" xfId="0" applyNumberFormat="1" applyFont="1" applyFill="1" applyBorder="1" applyAlignment="1">
      <alignment horizontal="center" vertical="center"/>
    </xf>
    <xf numFmtId="172" fontId="68" fillId="4" borderId="0" xfId="0" applyNumberFormat="1" applyFont="1" applyFill="1" applyAlignment="1">
      <alignment horizontal="center" vertical="center"/>
    </xf>
    <xf numFmtId="3" fontId="33" fillId="4" borderId="15" xfId="0" applyNumberFormat="1" applyFont="1" applyFill="1" applyBorder="1" applyAlignment="1">
      <alignment horizontal="center" vertical="center"/>
    </xf>
    <xf numFmtId="3" fontId="68" fillId="4" borderId="0" xfId="0" applyNumberFormat="1" applyFont="1" applyFill="1" applyAlignment="1">
      <alignment horizontal="center" vertical="center"/>
    </xf>
    <xf numFmtId="3" fontId="46" fillId="4" borderId="15" xfId="0" applyNumberFormat="1" applyFont="1" applyFill="1" applyBorder="1" applyAlignment="1">
      <alignment horizontal="center" vertical="center"/>
    </xf>
    <xf numFmtId="49" fontId="33" fillId="4" borderId="15" xfId="0" applyNumberFormat="1" applyFont="1" applyFill="1" applyBorder="1" applyAlignment="1">
      <alignment horizontal="center" vertical="center"/>
    </xf>
    <xf numFmtId="172" fontId="46" fillId="4" borderId="10" xfId="0" applyNumberFormat="1" applyFont="1" applyFill="1" applyBorder="1" applyAlignment="1">
      <alignment horizontal="center" vertical="center"/>
    </xf>
    <xf numFmtId="49" fontId="46" fillId="4" borderId="15" xfId="0" applyNumberFormat="1" applyFont="1" applyFill="1" applyBorder="1" applyAlignment="1">
      <alignment horizontal="center" vertical="center"/>
    </xf>
    <xf numFmtId="172" fontId="59" fillId="4" borderId="10" xfId="0" applyNumberFormat="1" applyFont="1" applyFill="1" applyBorder="1" applyAlignment="1">
      <alignment horizontal="center" vertical="center"/>
    </xf>
    <xf numFmtId="0" fontId="44" fillId="9" borderId="45" xfId="0" applyFont="1" applyFill="1" applyBorder="1" applyAlignment="1">
      <alignment horizontal="center" vertical="center"/>
    </xf>
    <xf numFmtId="0" fontId="46" fillId="4" borderId="15" xfId="0" applyFont="1" applyFill="1" applyBorder="1" applyAlignment="1">
      <alignment horizontal="center" vertical="center" wrapText="1"/>
    </xf>
    <xf numFmtId="0" fontId="35" fillId="4" borderId="0" xfId="0" applyFont="1" applyFill="1" applyBorder="1"/>
    <xf numFmtId="0" fontId="45" fillId="4" borderId="0" xfId="0" applyFont="1" applyFill="1" applyBorder="1" applyAlignment="1">
      <alignment horizontal="right" vertical="center"/>
    </xf>
    <xf numFmtId="0" fontId="85" fillId="4" borderId="0" xfId="0" applyFont="1" applyFill="1" applyAlignment="1">
      <alignment horizontal="left" vertical="center" indent="1"/>
    </xf>
    <xf numFmtId="0" fontId="46" fillId="4" borderId="15" xfId="0" applyFont="1" applyFill="1" applyBorder="1" applyAlignment="1">
      <alignment horizontal="left" vertical="center" wrapText="1" indent="1"/>
    </xf>
    <xf numFmtId="0" fontId="46" fillId="4" borderId="10" xfId="0" applyFont="1" applyFill="1" applyBorder="1" applyAlignment="1">
      <alignment horizontal="left" vertical="center" indent="1"/>
    </xf>
    <xf numFmtId="0" fontId="46" fillId="4" borderId="10" xfId="0" applyFont="1" applyFill="1" applyBorder="1" applyAlignment="1">
      <alignment horizontal="left" vertical="center" wrapText="1" indent="1"/>
    </xf>
    <xf numFmtId="49" fontId="46" fillId="4" borderId="10" xfId="0" applyNumberFormat="1" applyFont="1" applyFill="1" applyBorder="1" applyAlignment="1">
      <alignment horizontal="center" vertical="center"/>
    </xf>
    <xf numFmtId="49" fontId="33" fillId="4" borderId="10" xfId="0" applyNumberFormat="1" applyFont="1" applyFill="1" applyBorder="1" applyAlignment="1">
      <alignment horizontal="center" vertical="center"/>
    </xf>
    <xf numFmtId="0" fontId="0" fillId="4" borderId="35" xfId="0" applyFill="1" applyBorder="1"/>
    <xf numFmtId="0" fontId="0" fillId="4" borderId="36" xfId="0" applyFill="1" applyBorder="1"/>
    <xf numFmtId="0" fontId="0" fillId="4" borderId="188" xfId="0" applyFill="1" applyBorder="1"/>
    <xf numFmtId="0" fontId="4" fillId="4" borderId="0" xfId="0" applyFont="1" applyFill="1" applyAlignment="1">
      <alignment horizontal="right" vertical="center" wrapText="1"/>
    </xf>
    <xf numFmtId="0" fontId="11" fillId="4" borderId="0" xfId="17" applyNumberFormat="1" applyFont="1" applyFill="1" applyBorder="1" applyAlignment="1">
      <alignment horizontal="center" vertical="center" wrapText="1"/>
    </xf>
    <xf numFmtId="1" fontId="12" fillId="4" borderId="0" xfId="17" applyNumberFormat="1" applyFont="1" applyFill="1" applyBorder="1" applyAlignment="1">
      <alignment vertical="top"/>
    </xf>
    <xf numFmtId="0" fontId="32" fillId="4" borderId="0" xfId="0" applyFont="1" applyFill="1" applyBorder="1" applyAlignment="1">
      <alignment horizontal="center" vertical="center"/>
    </xf>
    <xf numFmtId="0" fontId="29" fillId="4" borderId="0" xfId="0" applyFont="1" applyFill="1" applyBorder="1" applyAlignment="1">
      <alignment horizontal="center" vertical="center"/>
    </xf>
    <xf numFmtId="6" fontId="2" fillId="4" borderId="0" xfId="0" applyNumberFormat="1" applyFont="1" applyFill="1" applyBorder="1" applyAlignment="1">
      <alignment horizontal="center" vertical="center" wrapText="1"/>
    </xf>
    <xf numFmtId="0" fontId="32" fillId="4" borderId="0" xfId="0" applyFont="1" applyFill="1" applyBorder="1" applyAlignment="1">
      <alignment horizontal="center" vertical="center" wrapText="1"/>
    </xf>
    <xf numFmtId="6" fontId="29" fillId="4" borderId="0" xfId="0" applyNumberFormat="1" applyFont="1" applyFill="1" applyBorder="1" applyAlignment="1">
      <alignment horizontal="center" vertical="center"/>
    </xf>
    <xf numFmtId="0" fontId="6" fillId="4" borderId="0" xfId="0" applyFont="1" applyFill="1" applyBorder="1" applyAlignment="1">
      <alignment horizontal="left" vertical="center" indent="1"/>
    </xf>
    <xf numFmtId="6" fontId="41" fillId="4" borderId="0" xfId="0" applyNumberFormat="1" applyFont="1" applyFill="1" applyBorder="1" applyAlignment="1">
      <alignment horizontal="left" vertical="center" wrapText="1"/>
    </xf>
    <xf numFmtId="0" fontId="41" fillId="4" borderId="0" xfId="0" applyFont="1" applyFill="1" applyBorder="1" applyAlignment="1">
      <alignment horizontal="left" vertical="center" wrapText="1"/>
    </xf>
    <xf numFmtId="0" fontId="6" fillId="4" borderId="0" xfId="0" applyFont="1" applyFill="1" applyBorder="1" applyAlignment="1">
      <alignment horizontal="left" vertical="center" wrapText="1" indent="1"/>
    </xf>
    <xf numFmtId="0" fontId="42" fillId="7" borderId="0" xfId="0" applyNumberFormat="1" applyFont="1" applyFill="1" applyBorder="1" applyAlignment="1">
      <alignment horizontal="center" vertical="center" wrapText="1"/>
    </xf>
    <xf numFmtId="49" fontId="29" fillId="4" borderId="0" xfId="0" applyNumberFormat="1" applyFont="1" applyFill="1" applyBorder="1" applyAlignment="1">
      <alignment horizontal="center" vertical="center"/>
    </xf>
    <xf numFmtId="6" fontId="31" fillId="4" borderId="0" xfId="0" applyNumberFormat="1" applyFont="1" applyFill="1" applyBorder="1" applyAlignment="1">
      <alignment horizontal="center" vertical="center" wrapText="1"/>
    </xf>
    <xf numFmtId="49" fontId="2" fillId="4" borderId="0" xfId="0" applyNumberFormat="1" applyFont="1" applyFill="1" applyBorder="1" applyAlignment="1">
      <alignment horizontal="center" vertical="center" wrapText="1"/>
    </xf>
    <xf numFmtId="49" fontId="3" fillId="4" borderId="0" xfId="0" applyNumberFormat="1" applyFont="1" applyFill="1" applyBorder="1" applyAlignment="1">
      <alignment horizontal="center" vertical="center" wrapText="1"/>
    </xf>
    <xf numFmtId="0" fontId="51" fillId="14" borderId="0" xfId="0" applyFont="1" applyFill="1" applyBorder="1" applyAlignment="1">
      <alignment horizontal="center" vertical="center"/>
    </xf>
    <xf numFmtId="0" fontId="51" fillId="14" borderId="42" xfId="0" applyFont="1" applyFill="1" applyBorder="1" applyAlignment="1">
      <alignment horizontal="center" vertical="center"/>
    </xf>
    <xf numFmtId="0" fontId="18" fillId="4" borderId="6" xfId="0" applyFont="1" applyFill="1" applyBorder="1" applyAlignment="1">
      <alignment horizontal="left" vertical="center" wrapText="1" indent="1"/>
    </xf>
    <xf numFmtId="0" fontId="18" fillId="4" borderId="21" xfId="0" applyFont="1" applyFill="1" applyBorder="1" applyAlignment="1">
      <alignment horizontal="left" vertical="center" wrapText="1" indent="1"/>
    </xf>
    <xf numFmtId="0" fontId="18" fillId="4" borderId="7" xfId="0" applyFont="1" applyFill="1" applyBorder="1" applyAlignment="1">
      <alignment horizontal="left" vertical="center" wrapText="1" indent="1"/>
    </xf>
    <xf numFmtId="0" fontId="18" fillId="4" borderId="29" xfId="0" applyFont="1" applyFill="1" applyBorder="1" applyAlignment="1">
      <alignment horizontal="left" vertical="center" indent="1"/>
    </xf>
    <xf numFmtId="0" fontId="18" fillId="4" borderId="22" xfId="0" applyFont="1" applyFill="1" applyBorder="1" applyAlignment="1">
      <alignment horizontal="left" vertical="center" wrapText="1" indent="1"/>
    </xf>
    <xf numFmtId="0" fontId="18" fillId="4" borderId="31" xfId="0" applyFont="1" applyFill="1" applyBorder="1" applyAlignment="1">
      <alignment horizontal="left" vertical="center" wrapText="1" indent="1"/>
    </xf>
    <xf numFmtId="0" fontId="18" fillId="4" borderId="13" xfId="0" applyFont="1" applyFill="1" applyBorder="1" applyAlignment="1">
      <alignment horizontal="left" vertical="center" wrapText="1" indent="1"/>
    </xf>
    <xf numFmtId="0" fontId="44" fillId="9" borderId="0" xfId="0" applyFont="1" applyFill="1" applyBorder="1" applyAlignment="1">
      <alignment horizontal="center" vertical="center" wrapText="1" readingOrder="1"/>
    </xf>
    <xf numFmtId="0" fontId="44" fillId="9" borderId="35" xfId="0" applyFont="1" applyFill="1" applyBorder="1" applyAlignment="1">
      <alignment horizontal="center" vertical="center" wrapText="1" readingOrder="1"/>
    </xf>
    <xf numFmtId="0" fontId="18" fillId="4" borderId="6" xfId="0" applyFont="1" applyFill="1" applyBorder="1" applyAlignment="1">
      <alignment horizontal="left" vertical="center" indent="1"/>
    </xf>
    <xf numFmtId="0" fontId="18" fillId="4" borderId="21" xfId="0" applyFont="1" applyFill="1" applyBorder="1" applyAlignment="1">
      <alignment horizontal="left" vertical="center" indent="1"/>
    </xf>
    <xf numFmtId="0" fontId="33" fillId="4" borderId="6" xfId="0" applyFont="1" applyFill="1" applyBorder="1" applyAlignment="1">
      <alignment horizontal="left" vertical="center" wrapText="1" indent="1"/>
    </xf>
    <xf numFmtId="0" fontId="33" fillId="4" borderId="21" xfId="0" applyFont="1" applyFill="1" applyBorder="1" applyAlignment="1">
      <alignment horizontal="left" vertical="center" wrapText="1" indent="1"/>
    </xf>
    <xf numFmtId="0" fontId="33" fillId="4" borderId="7" xfId="0" applyFont="1" applyFill="1" applyBorder="1" applyAlignment="1">
      <alignment horizontal="left" vertical="center" wrapText="1" indent="1"/>
    </xf>
    <xf numFmtId="0" fontId="33" fillId="4" borderId="24" xfId="0" applyFont="1" applyFill="1" applyBorder="1" applyAlignment="1">
      <alignment horizontal="left" vertical="center" wrapText="1" indent="1"/>
    </xf>
    <xf numFmtId="0" fontId="33" fillId="4" borderId="32" xfId="0" applyFont="1" applyFill="1" applyBorder="1" applyAlignment="1">
      <alignment horizontal="left" vertical="center" wrapText="1" indent="1"/>
    </xf>
    <xf numFmtId="0" fontId="33" fillId="4" borderId="25" xfId="0" applyFont="1" applyFill="1" applyBorder="1" applyAlignment="1">
      <alignment horizontal="left" vertical="center" wrapText="1" indent="1"/>
    </xf>
    <xf numFmtId="0" fontId="46" fillId="4" borderId="17" xfId="0" applyFont="1" applyFill="1" applyBorder="1" applyAlignment="1">
      <alignment horizontal="left" vertical="center" indent="1"/>
    </xf>
    <xf numFmtId="0" fontId="46" fillId="4" borderId="29" xfId="0" applyFont="1" applyFill="1" applyBorder="1" applyAlignment="1">
      <alignment horizontal="left" vertical="center" indent="1"/>
    </xf>
    <xf numFmtId="0" fontId="46" fillId="4" borderId="12" xfId="0" applyFont="1" applyFill="1" applyBorder="1" applyAlignment="1">
      <alignment horizontal="left" vertical="center" indent="1"/>
    </xf>
    <xf numFmtId="0" fontId="33" fillId="4" borderId="22" xfId="0" applyFont="1" applyFill="1" applyBorder="1" applyAlignment="1">
      <alignment horizontal="left" vertical="center" wrapText="1" indent="1"/>
    </xf>
    <xf numFmtId="0" fontId="33" fillId="4" borderId="31" xfId="0" applyFont="1" applyFill="1" applyBorder="1" applyAlignment="1">
      <alignment horizontal="left" vertical="center" wrapText="1" indent="1"/>
    </xf>
    <xf numFmtId="0" fontId="51" fillId="9" borderId="0" xfId="0" applyFont="1" applyFill="1" applyBorder="1" applyAlignment="1">
      <alignment horizontal="center" vertical="center"/>
    </xf>
    <xf numFmtId="0" fontId="51" fillId="9" borderId="35" xfId="0" applyFont="1" applyFill="1" applyBorder="1" applyAlignment="1">
      <alignment horizontal="center" vertical="center"/>
    </xf>
    <xf numFmtId="170" fontId="51" fillId="23" borderId="88" xfId="0" applyNumberFormat="1" applyFont="1" applyFill="1" applyBorder="1" applyAlignment="1">
      <alignment horizontal="center" vertical="center"/>
    </xf>
    <xf numFmtId="0" fontId="51" fillId="14" borderId="136" xfId="0" applyFont="1" applyFill="1" applyBorder="1" applyAlignment="1">
      <alignment horizontal="center" vertical="center"/>
    </xf>
    <xf numFmtId="0" fontId="51" fillId="23" borderId="0" xfId="0" applyFont="1" applyFill="1" applyBorder="1" applyAlignment="1">
      <alignment horizontal="center" vertical="center"/>
    </xf>
    <xf numFmtId="0" fontId="53" fillId="9" borderId="0" xfId="0" applyFont="1" applyFill="1" applyBorder="1" applyAlignment="1">
      <alignment horizontal="center" vertical="center" wrapText="1" readingOrder="1"/>
    </xf>
    <xf numFmtId="0" fontId="53" fillId="9" borderId="35" xfId="0" applyFont="1" applyFill="1" applyBorder="1" applyAlignment="1">
      <alignment horizontal="center" vertical="center" wrapText="1" readingOrder="1"/>
    </xf>
    <xf numFmtId="0" fontId="33" fillId="4" borderId="17" xfId="0" applyFont="1" applyFill="1" applyBorder="1" applyAlignment="1">
      <alignment horizontal="left" vertical="center" wrapText="1" indent="1"/>
    </xf>
    <xf numFmtId="0" fontId="33" fillId="4" borderId="12" xfId="0" applyFont="1" applyFill="1" applyBorder="1" applyAlignment="1">
      <alignment horizontal="left" vertical="center" wrapText="1" indent="1"/>
    </xf>
    <xf numFmtId="0" fontId="18" fillId="4" borderId="12" xfId="0" applyFont="1" applyFill="1" applyBorder="1" applyAlignment="1">
      <alignment horizontal="left" vertical="center" indent="1"/>
    </xf>
    <xf numFmtId="0" fontId="18" fillId="4" borderId="17" xfId="0" applyFont="1" applyFill="1" applyBorder="1" applyAlignment="1">
      <alignment horizontal="left" vertical="center" wrapText="1" indent="1"/>
    </xf>
    <xf numFmtId="0" fontId="18" fillId="4" borderId="29" xfId="0" applyFont="1" applyFill="1" applyBorder="1" applyAlignment="1">
      <alignment horizontal="left" vertical="center" wrapText="1" indent="1"/>
    </xf>
    <xf numFmtId="0" fontId="18" fillId="4" borderId="12" xfId="0" applyFont="1" applyFill="1" applyBorder="1" applyAlignment="1">
      <alignment horizontal="left" vertical="center" wrapText="1" indent="1"/>
    </xf>
    <xf numFmtId="0" fontId="22" fillId="4" borderId="161" xfId="0" applyFont="1" applyFill="1" applyBorder="1" applyAlignment="1">
      <alignment horizontal="left" vertical="center" indent="1"/>
    </xf>
    <xf numFmtId="0" fontId="33" fillId="4" borderId="13" xfId="0" applyFont="1" applyFill="1" applyBorder="1" applyAlignment="1">
      <alignment horizontal="left" vertical="center" wrapText="1" indent="1"/>
    </xf>
    <xf numFmtId="0" fontId="46" fillId="4" borderId="3" xfId="0" applyFont="1" applyFill="1" applyBorder="1" applyAlignment="1">
      <alignment horizontal="left" vertical="center" indent="1"/>
    </xf>
    <xf numFmtId="0" fontId="46" fillId="4" borderId="0" xfId="0" applyFont="1" applyFill="1" applyBorder="1" applyAlignment="1">
      <alignment horizontal="left" vertical="center" indent="1"/>
    </xf>
    <xf numFmtId="0" fontId="46" fillId="4" borderId="1" xfId="0" applyFont="1" applyFill="1" applyBorder="1" applyAlignment="1">
      <alignment horizontal="left" vertical="center" indent="1"/>
    </xf>
    <xf numFmtId="0" fontId="46" fillId="4" borderId="18" xfId="0" applyFont="1" applyFill="1" applyBorder="1" applyAlignment="1">
      <alignment horizontal="left" vertical="center" indent="1"/>
    </xf>
    <xf numFmtId="0" fontId="46" fillId="4" borderId="2" xfId="0" applyFont="1" applyFill="1" applyBorder="1" applyAlignment="1">
      <alignment horizontal="left" vertical="center" indent="1"/>
    </xf>
    <xf numFmtId="0" fontId="46" fillId="4" borderId="11" xfId="0" applyFont="1" applyFill="1" applyBorder="1" applyAlignment="1">
      <alignment horizontal="left" vertical="center" indent="1"/>
    </xf>
    <xf numFmtId="0" fontId="18" fillId="4" borderId="24" xfId="0" applyFont="1" applyFill="1" applyBorder="1" applyAlignment="1">
      <alignment horizontal="left" vertical="center" wrapText="1" indent="1"/>
    </xf>
    <xf numFmtId="0" fontId="18" fillId="4" borderId="32" xfId="0" applyFont="1" applyFill="1" applyBorder="1" applyAlignment="1">
      <alignment horizontal="left" vertical="center" wrapText="1" indent="1"/>
    </xf>
    <xf numFmtId="0" fontId="18" fillId="4" borderId="25" xfId="0" applyFont="1" applyFill="1" applyBorder="1" applyAlignment="1">
      <alignment horizontal="left" vertical="center" wrapText="1" indent="1"/>
    </xf>
    <xf numFmtId="0" fontId="33" fillId="19" borderId="157" xfId="0" applyFont="1" applyFill="1" applyBorder="1" applyAlignment="1">
      <alignment horizontal="center" vertical="center" textRotation="90"/>
    </xf>
    <xf numFmtId="0" fontId="33" fillId="19" borderId="1" xfId="0" applyFont="1" applyFill="1" applyBorder="1" applyAlignment="1">
      <alignment horizontal="center" vertical="center" textRotation="90"/>
    </xf>
    <xf numFmtId="0" fontId="33" fillId="19" borderId="58" xfId="0" applyFont="1" applyFill="1" applyBorder="1" applyAlignment="1">
      <alignment horizontal="center" vertical="center" textRotation="90"/>
    </xf>
    <xf numFmtId="0" fontId="18" fillId="4" borderId="7" xfId="0" applyFont="1" applyFill="1" applyBorder="1" applyAlignment="1">
      <alignment horizontal="left" vertical="center" indent="1"/>
    </xf>
    <xf numFmtId="0" fontId="33" fillId="33" borderId="1" xfId="0" applyFont="1" applyFill="1" applyBorder="1" applyAlignment="1">
      <alignment horizontal="center" vertical="center" textRotation="90"/>
    </xf>
    <xf numFmtId="0" fontId="44" fillId="21" borderId="0" xfId="0" applyFont="1" applyFill="1" applyBorder="1" applyAlignment="1">
      <alignment horizontal="center" vertical="center"/>
    </xf>
    <xf numFmtId="0" fontId="44" fillId="21" borderId="62" xfId="0" applyFont="1" applyFill="1" applyBorder="1" applyAlignment="1">
      <alignment horizontal="center" vertical="center"/>
    </xf>
    <xf numFmtId="0" fontId="33" fillId="4" borderId="3" xfId="0" applyFont="1" applyFill="1" applyBorder="1" applyAlignment="1">
      <alignment horizontal="left" vertical="center" wrapText="1" indent="1"/>
    </xf>
    <xf numFmtId="0" fontId="33" fillId="4" borderId="0" xfId="0" applyFont="1" applyFill="1" applyBorder="1" applyAlignment="1">
      <alignment horizontal="left" vertical="center" wrapText="1" indent="1"/>
    </xf>
    <xf numFmtId="0" fontId="33" fillId="4" borderId="1" xfId="0" applyFont="1" applyFill="1" applyBorder="1" applyAlignment="1">
      <alignment horizontal="left" vertical="center" wrapText="1" indent="1"/>
    </xf>
    <xf numFmtId="0" fontId="33" fillId="4" borderId="29" xfId="0" applyFont="1" applyFill="1" applyBorder="1" applyAlignment="1">
      <alignment horizontal="left" vertical="center" wrapText="1" indent="1"/>
    </xf>
    <xf numFmtId="0" fontId="33" fillId="4" borderId="18" xfId="0" applyFont="1" applyFill="1" applyBorder="1" applyAlignment="1">
      <alignment horizontal="left" vertical="center" indent="1"/>
    </xf>
    <xf numFmtId="0" fontId="33" fillId="4" borderId="2" xfId="0" applyFont="1" applyFill="1" applyBorder="1" applyAlignment="1">
      <alignment horizontal="left" vertical="center" indent="1"/>
    </xf>
    <xf numFmtId="0" fontId="33" fillId="4" borderId="11" xfId="0" applyFont="1" applyFill="1" applyBorder="1" applyAlignment="1">
      <alignment horizontal="left" vertical="center" indent="1"/>
    </xf>
    <xf numFmtId="0" fontId="33" fillId="0" borderId="6" xfId="0" applyFont="1" applyFill="1" applyBorder="1" applyAlignment="1">
      <alignment horizontal="left" vertical="center" indent="1"/>
    </xf>
    <xf numFmtId="0" fontId="33" fillId="0" borderId="21" xfId="0" applyFont="1" applyFill="1" applyBorder="1" applyAlignment="1">
      <alignment horizontal="left" vertical="center" indent="1"/>
    </xf>
    <xf numFmtId="0" fontId="33" fillId="0" borderId="7" xfId="0" applyFont="1" applyFill="1" applyBorder="1" applyAlignment="1">
      <alignment horizontal="left" vertical="center" indent="1"/>
    </xf>
    <xf numFmtId="0" fontId="33" fillId="0" borderId="17" xfId="0" applyFont="1" applyFill="1" applyBorder="1" applyAlignment="1">
      <alignment horizontal="left" vertical="center" wrapText="1" indent="1"/>
    </xf>
    <xf numFmtId="0" fontId="33" fillId="0" borderId="29" xfId="0" applyFont="1" applyFill="1" applyBorder="1" applyAlignment="1">
      <alignment horizontal="left" vertical="center" wrapText="1" indent="1"/>
    </xf>
    <xf numFmtId="0" fontId="33" fillId="0" borderId="12" xfId="0" applyFont="1" applyFill="1" applyBorder="1" applyAlignment="1">
      <alignment horizontal="left" vertical="center" wrapText="1" indent="1"/>
    </xf>
    <xf numFmtId="0" fontId="33" fillId="4" borderId="6" xfId="0" applyFont="1" applyFill="1" applyBorder="1" applyAlignment="1">
      <alignment horizontal="left" vertical="center" indent="1"/>
    </xf>
    <xf numFmtId="0" fontId="33" fillId="4" borderId="21" xfId="0" applyFont="1" applyFill="1" applyBorder="1" applyAlignment="1">
      <alignment horizontal="left" vertical="center" indent="1"/>
    </xf>
    <xf numFmtId="0" fontId="33" fillId="4" borderId="7" xfId="0" applyFont="1" applyFill="1" applyBorder="1" applyAlignment="1">
      <alignment horizontal="left" vertical="center" indent="1"/>
    </xf>
    <xf numFmtId="0" fontId="51" fillId="9" borderId="36" xfId="0" applyFont="1" applyFill="1" applyBorder="1" applyAlignment="1">
      <alignment horizontal="center" vertical="center"/>
    </xf>
    <xf numFmtId="0" fontId="33" fillId="0" borderId="6" xfId="0" applyFont="1" applyFill="1" applyBorder="1" applyAlignment="1">
      <alignment horizontal="left" vertical="center" wrapText="1" indent="1"/>
    </xf>
    <xf numFmtId="0" fontId="33" fillId="0" borderId="21" xfId="0" applyFont="1" applyFill="1" applyBorder="1" applyAlignment="1">
      <alignment horizontal="left" vertical="center" wrapText="1" indent="1"/>
    </xf>
    <xf numFmtId="0" fontId="33" fillId="0" borderId="7" xfId="0" applyFont="1" applyFill="1" applyBorder="1" applyAlignment="1">
      <alignment horizontal="left" vertical="center" wrapText="1" indent="1"/>
    </xf>
    <xf numFmtId="0" fontId="57" fillId="0" borderId="9" xfId="0" applyFont="1" applyFill="1" applyBorder="1" applyAlignment="1">
      <alignment horizontal="center" vertical="center" wrapText="1"/>
    </xf>
    <xf numFmtId="0" fontId="53" fillId="9" borderId="36" xfId="0" applyFont="1" applyFill="1" applyBorder="1" applyAlignment="1">
      <alignment horizontal="center" vertical="center" wrapText="1" readingOrder="1"/>
    </xf>
    <xf numFmtId="0" fontId="53" fillId="9" borderId="45" xfId="0" applyFont="1" applyFill="1" applyBorder="1" applyAlignment="1">
      <alignment horizontal="center" vertical="center" wrapText="1" readingOrder="1"/>
    </xf>
    <xf numFmtId="0" fontId="44" fillId="9" borderId="45" xfId="0" applyFont="1" applyFill="1" applyBorder="1" applyAlignment="1">
      <alignment horizontal="center" vertical="center" wrapText="1" readingOrder="1"/>
    </xf>
    <xf numFmtId="0" fontId="44" fillId="9" borderId="36" xfId="0" applyFont="1" applyFill="1" applyBorder="1" applyAlignment="1">
      <alignment horizontal="center" vertical="center" wrapText="1" readingOrder="1"/>
    </xf>
    <xf numFmtId="0" fontId="33" fillId="4" borderId="9" xfId="0" applyFont="1" applyFill="1" applyBorder="1" applyAlignment="1">
      <alignment horizontal="left" vertical="center" wrapText="1" indent="1"/>
    </xf>
    <xf numFmtId="0" fontId="44" fillId="21" borderId="60" xfId="0" applyFont="1" applyFill="1" applyBorder="1" applyAlignment="1">
      <alignment horizontal="center" vertical="center"/>
    </xf>
    <xf numFmtId="0" fontId="18" fillId="4" borderId="17" xfId="0" applyFont="1" applyFill="1" applyBorder="1" applyAlignment="1">
      <alignment horizontal="left" vertical="center" indent="1"/>
    </xf>
    <xf numFmtId="0" fontId="44" fillId="9" borderId="0" xfId="0" applyFont="1" applyFill="1" applyBorder="1" applyAlignment="1">
      <alignment horizontal="center" vertical="center"/>
    </xf>
    <xf numFmtId="0" fontId="44" fillId="9" borderId="36" xfId="0" applyFont="1" applyFill="1" applyBorder="1" applyAlignment="1">
      <alignment horizontal="center" vertical="center"/>
    </xf>
    <xf numFmtId="0" fontId="57" fillId="0" borderId="24" xfId="0" applyFont="1" applyFill="1" applyBorder="1" applyAlignment="1">
      <alignment horizontal="center" vertical="center" wrapText="1"/>
    </xf>
    <xf numFmtId="0" fontId="57" fillId="0" borderId="32" xfId="0" applyFont="1" applyFill="1" applyBorder="1" applyAlignment="1">
      <alignment horizontal="center" vertical="center" wrapText="1"/>
    </xf>
    <xf numFmtId="0" fontId="57" fillId="0" borderId="25" xfId="0" applyFont="1" applyFill="1" applyBorder="1" applyAlignment="1">
      <alignment horizontal="center" vertical="center" wrapText="1"/>
    </xf>
    <xf numFmtId="0" fontId="44" fillId="9" borderId="35" xfId="0" applyFont="1" applyFill="1" applyBorder="1" applyAlignment="1">
      <alignment horizontal="center" vertical="center"/>
    </xf>
    <xf numFmtId="0" fontId="33" fillId="17" borderId="1" xfId="0" applyFont="1" applyFill="1" applyBorder="1" applyAlignment="1">
      <alignment horizontal="center" vertical="center" textRotation="90" wrapText="1"/>
    </xf>
    <xf numFmtId="0" fontId="33" fillId="17" borderId="58" xfId="0" applyFont="1" applyFill="1" applyBorder="1" applyAlignment="1">
      <alignment horizontal="center" vertical="center" textRotation="90" wrapText="1"/>
    </xf>
    <xf numFmtId="0" fontId="33" fillId="18" borderId="57" xfId="0" applyFont="1" applyFill="1" applyBorder="1" applyAlignment="1">
      <alignment horizontal="center" vertical="center" textRotation="90" wrapText="1"/>
    </xf>
    <xf numFmtId="0" fontId="33" fillId="18" borderId="23" xfId="0" applyFont="1" applyFill="1" applyBorder="1" applyAlignment="1">
      <alignment horizontal="center" vertical="center" textRotation="90" wrapText="1"/>
    </xf>
    <xf numFmtId="0" fontId="33" fillId="18" borderId="156" xfId="0" applyFont="1" applyFill="1" applyBorder="1" applyAlignment="1">
      <alignment horizontal="center" vertical="center" textRotation="90" wrapText="1"/>
    </xf>
    <xf numFmtId="0" fontId="33" fillId="31" borderId="157" xfId="0" applyFont="1" applyFill="1" applyBorder="1" applyAlignment="1">
      <alignment horizontal="center" vertical="center" textRotation="90" wrapText="1"/>
    </xf>
    <xf numFmtId="0" fontId="33" fillId="31" borderId="1" xfId="0" applyFont="1" applyFill="1" applyBorder="1" applyAlignment="1">
      <alignment horizontal="center" vertical="center" textRotation="90" wrapText="1"/>
    </xf>
    <xf numFmtId="0" fontId="33" fillId="31" borderId="58" xfId="0" applyFont="1" applyFill="1" applyBorder="1" applyAlignment="1">
      <alignment horizontal="center" vertical="center" textRotation="90" wrapText="1"/>
    </xf>
    <xf numFmtId="0" fontId="57" fillId="0" borderId="6"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7" xfId="0" applyFont="1" applyFill="1" applyBorder="1" applyAlignment="1">
      <alignment horizontal="center" vertical="center" wrapText="1"/>
    </xf>
    <xf numFmtId="0" fontId="44" fillId="20" borderId="0" xfId="0" applyFont="1" applyFill="1" applyBorder="1" applyAlignment="1">
      <alignment horizontal="center" vertical="center"/>
    </xf>
    <xf numFmtId="0" fontId="33" fillId="26" borderId="1" xfId="0" applyFont="1" applyFill="1" applyBorder="1" applyAlignment="1">
      <alignment horizontal="center" vertical="center" textRotation="90"/>
    </xf>
    <xf numFmtId="0" fontId="47" fillId="27" borderId="121" xfId="0" applyNumberFormat="1" applyFont="1" applyFill="1" applyBorder="1" applyAlignment="1">
      <alignment horizontal="center" vertical="center" wrapText="1"/>
    </xf>
    <xf numFmtId="0" fontId="47" fillId="27" borderId="118" xfId="0" applyNumberFormat="1" applyFont="1" applyFill="1" applyBorder="1" applyAlignment="1">
      <alignment horizontal="center" vertical="center" wrapText="1"/>
    </xf>
    <xf numFmtId="0" fontId="18" fillId="4" borderId="18" xfId="0" applyFont="1" applyFill="1" applyBorder="1" applyAlignment="1">
      <alignment horizontal="left" vertical="center" wrapText="1" indent="1"/>
    </xf>
    <xf numFmtId="0" fontId="18" fillId="4" borderId="2" xfId="0" applyFont="1" applyFill="1" applyBorder="1" applyAlignment="1">
      <alignment horizontal="left" vertical="center" wrapText="1" indent="1"/>
    </xf>
    <xf numFmtId="0" fontId="18" fillId="4" borderId="11" xfId="0" applyFont="1" applyFill="1" applyBorder="1" applyAlignment="1">
      <alignment horizontal="left" vertical="center" wrapText="1" indent="1"/>
    </xf>
    <xf numFmtId="0" fontId="33" fillId="4" borderId="122" xfId="0" applyFont="1" applyFill="1" applyBorder="1" applyAlignment="1">
      <alignment horizontal="left" vertical="center" wrapText="1" indent="1"/>
    </xf>
    <xf numFmtId="0" fontId="33" fillId="4" borderId="124" xfId="0" applyFont="1" applyFill="1" applyBorder="1" applyAlignment="1">
      <alignment horizontal="left" vertical="center" wrapText="1" indent="1"/>
    </xf>
    <xf numFmtId="0" fontId="33" fillId="4" borderId="125" xfId="0" applyFont="1" applyFill="1" applyBorder="1" applyAlignment="1">
      <alignment horizontal="left" vertical="center" wrapText="1" indent="1"/>
    </xf>
    <xf numFmtId="0" fontId="33" fillId="4" borderId="18" xfId="0" applyFont="1" applyFill="1" applyBorder="1" applyAlignment="1">
      <alignment horizontal="left" vertical="center" wrapText="1" indent="1"/>
    </xf>
    <xf numFmtId="0" fontId="33" fillId="4" borderId="2" xfId="0" applyFont="1" applyFill="1" applyBorder="1" applyAlignment="1">
      <alignment horizontal="left" vertical="center" wrapText="1" indent="1"/>
    </xf>
    <xf numFmtId="0" fontId="33" fillId="4" borderId="11" xfId="0" applyFont="1" applyFill="1" applyBorder="1" applyAlignment="1">
      <alignment horizontal="left" vertical="center" wrapText="1" indent="1"/>
    </xf>
    <xf numFmtId="166" fontId="33" fillId="4" borderId="16" xfId="0" applyNumberFormat="1" applyFont="1" applyFill="1" applyBorder="1" applyAlignment="1">
      <alignment horizontal="center" vertical="center"/>
    </xf>
    <xf numFmtId="166" fontId="33" fillId="4" borderId="10" xfId="0" applyNumberFormat="1" applyFont="1" applyFill="1" applyBorder="1" applyAlignment="1">
      <alignment horizontal="center" vertical="center"/>
    </xf>
    <xf numFmtId="0" fontId="22" fillId="4" borderId="116" xfId="0" applyFont="1" applyFill="1" applyBorder="1" applyAlignment="1">
      <alignment horizontal="left" vertical="center" indent="1"/>
    </xf>
    <xf numFmtId="0" fontId="22" fillId="4" borderId="115" xfId="0" applyFont="1" applyFill="1" applyBorder="1" applyAlignment="1">
      <alignment horizontal="left" vertical="center" indent="1"/>
    </xf>
    <xf numFmtId="0" fontId="18" fillId="4" borderId="24" xfId="0" applyFont="1" applyFill="1" applyBorder="1" applyAlignment="1">
      <alignment horizontal="left" vertical="center" indent="1"/>
    </xf>
    <xf numFmtId="0" fontId="18" fillId="4" borderId="32" xfId="0" applyFont="1" applyFill="1" applyBorder="1" applyAlignment="1">
      <alignment horizontal="left" vertical="center" indent="1"/>
    </xf>
    <xf numFmtId="0" fontId="18" fillId="4" borderId="25" xfId="0" applyFont="1" applyFill="1" applyBorder="1" applyAlignment="1">
      <alignment horizontal="left" vertical="center" indent="1"/>
    </xf>
    <xf numFmtId="0" fontId="47" fillId="27" borderId="120" xfId="0" applyNumberFormat="1" applyFont="1" applyFill="1" applyBorder="1" applyAlignment="1">
      <alignment horizontal="center" vertical="center" wrapText="1"/>
    </xf>
    <xf numFmtId="0" fontId="47" fillId="27" borderId="119" xfId="0" applyNumberFormat="1" applyFont="1" applyFill="1" applyBorder="1" applyAlignment="1">
      <alignment horizontal="center" vertical="center" wrapText="1"/>
    </xf>
    <xf numFmtId="166" fontId="33" fillId="4" borderId="123" xfId="0" applyNumberFormat="1" applyFont="1" applyFill="1" applyBorder="1" applyAlignment="1">
      <alignment horizontal="center" vertical="center"/>
    </xf>
    <xf numFmtId="0" fontId="44" fillId="20" borderId="59" xfId="0" applyFont="1" applyFill="1" applyBorder="1" applyAlignment="1">
      <alignment horizontal="center" vertical="center"/>
    </xf>
    <xf numFmtId="0" fontId="18" fillId="4" borderId="18" xfId="0" applyFont="1" applyFill="1" applyBorder="1" applyAlignment="1">
      <alignment horizontal="left" vertical="center" indent="1"/>
    </xf>
    <xf numFmtId="0" fontId="18" fillId="4" borderId="2" xfId="0" applyFont="1" applyFill="1" applyBorder="1" applyAlignment="1">
      <alignment horizontal="left" vertical="center" indent="1"/>
    </xf>
    <xf numFmtId="0" fontId="18" fillId="4" borderId="11" xfId="0" applyFont="1" applyFill="1" applyBorder="1" applyAlignment="1">
      <alignment horizontal="left" vertical="center" indent="1"/>
    </xf>
    <xf numFmtId="0" fontId="47" fillId="27" borderId="0" xfId="0" applyNumberFormat="1" applyFont="1" applyFill="1" applyBorder="1" applyAlignment="1">
      <alignment horizontal="center" vertical="center" wrapText="1"/>
    </xf>
    <xf numFmtId="0" fontId="22" fillId="7" borderId="159" xfId="0" applyNumberFormat="1" applyFont="1" applyFill="1" applyBorder="1" applyAlignment="1">
      <alignment horizontal="left" vertical="center" wrapText="1" indent="1"/>
    </xf>
    <xf numFmtId="0" fontId="22" fillId="7" borderId="160" xfId="0" applyNumberFormat="1" applyFont="1" applyFill="1" applyBorder="1" applyAlignment="1">
      <alignment horizontal="left" vertical="center" wrapText="1" indent="1"/>
    </xf>
    <xf numFmtId="0" fontId="22" fillId="7" borderId="127" xfId="0" applyNumberFormat="1" applyFont="1" applyFill="1" applyBorder="1" applyAlignment="1">
      <alignment horizontal="left" vertical="center" wrapText="1" indent="1"/>
    </xf>
    <xf numFmtId="0" fontId="44" fillId="29" borderId="0" xfId="0" applyFont="1" applyFill="1" applyBorder="1" applyAlignment="1">
      <alignment horizontal="center" vertical="center" wrapText="1" readingOrder="1"/>
    </xf>
    <xf numFmtId="0" fontId="44" fillId="29" borderId="42" xfId="0" applyFont="1" applyFill="1" applyBorder="1" applyAlignment="1">
      <alignment horizontal="center" vertical="center" wrapText="1" readingOrder="1"/>
    </xf>
    <xf numFmtId="170" fontId="76" fillId="5" borderId="0" xfId="0" applyNumberFormat="1" applyFont="1" applyFill="1" applyBorder="1" applyAlignment="1">
      <alignment horizontal="center" vertical="center"/>
    </xf>
    <xf numFmtId="170" fontId="76" fillId="5" borderId="117" xfId="0" applyNumberFormat="1" applyFont="1" applyFill="1" applyBorder="1" applyAlignment="1">
      <alignment horizontal="center" vertical="center"/>
    </xf>
    <xf numFmtId="0" fontId="33" fillId="4" borderId="16" xfId="0" applyFont="1" applyFill="1" applyBorder="1" applyAlignment="1">
      <alignment horizontal="center" vertical="center" wrapText="1"/>
    </xf>
    <xf numFmtId="0" fontId="33" fillId="4" borderId="10" xfId="0" applyFont="1" applyFill="1" applyBorder="1" applyAlignment="1">
      <alignment horizontal="center" vertical="center" wrapText="1"/>
    </xf>
    <xf numFmtId="0" fontId="44" fillId="30" borderId="0" xfId="0" applyFont="1" applyFill="1" applyBorder="1" applyAlignment="1">
      <alignment horizontal="center" vertical="center" wrapText="1" readingOrder="1"/>
    </xf>
    <xf numFmtId="0" fontId="44" fillId="30" borderId="59" xfId="0" applyFont="1" applyFill="1" applyBorder="1" applyAlignment="1">
      <alignment horizontal="center" vertical="center" wrapText="1" readingOrder="1"/>
    </xf>
    <xf numFmtId="0" fontId="44" fillId="20" borderId="141" xfId="0" applyFont="1" applyFill="1" applyBorder="1" applyAlignment="1">
      <alignment horizontal="center" vertical="center"/>
    </xf>
    <xf numFmtId="0" fontId="44" fillId="21" borderId="0" xfId="0" applyFont="1" applyFill="1" applyBorder="1" applyAlignment="1">
      <alignment horizontal="center" vertical="center" wrapText="1" readingOrder="1"/>
    </xf>
    <xf numFmtId="0" fontId="44" fillId="21" borderId="60" xfId="0" applyFont="1" applyFill="1" applyBorder="1" applyAlignment="1">
      <alignment horizontal="center" vertical="center" wrapText="1" readingOrder="1"/>
    </xf>
    <xf numFmtId="0" fontId="44" fillId="29" borderId="136" xfId="0" applyFont="1" applyFill="1" applyBorder="1" applyAlignment="1">
      <alignment horizontal="center" vertical="center" wrapText="1" readingOrder="1"/>
    </xf>
    <xf numFmtId="0" fontId="33" fillId="22" borderId="1" xfId="0" applyFont="1" applyFill="1" applyBorder="1" applyAlignment="1">
      <alignment horizontal="center" vertical="center" textRotation="90"/>
    </xf>
    <xf numFmtId="0" fontId="33" fillId="22" borderId="0" xfId="0" applyFont="1" applyFill="1" applyBorder="1" applyAlignment="1">
      <alignment horizontal="center" vertical="center" textRotation="90"/>
    </xf>
    <xf numFmtId="0" fontId="33" fillId="22" borderId="63" xfId="0" applyFont="1" applyFill="1" applyBorder="1" applyAlignment="1">
      <alignment horizontal="center" vertical="center" textRotation="90"/>
    </xf>
    <xf numFmtId="170" fontId="33" fillId="4" borderId="0" xfId="0" applyNumberFormat="1" applyFont="1" applyFill="1" applyBorder="1" applyAlignment="1">
      <alignment horizontal="center" vertical="center" wrapText="1"/>
    </xf>
    <xf numFmtId="0" fontId="33" fillId="4" borderId="10" xfId="0" applyFont="1" applyFill="1" applyBorder="1" applyAlignment="1">
      <alignment horizontal="left" vertical="center" indent="1"/>
    </xf>
    <xf numFmtId="0" fontId="33" fillId="4" borderId="10" xfId="0" applyFont="1" applyFill="1" applyBorder="1" applyAlignment="1">
      <alignment horizontal="left" vertical="center" wrapText="1" indent="1"/>
    </xf>
    <xf numFmtId="0" fontId="75" fillId="4" borderId="0" xfId="0" applyFont="1" applyFill="1" applyBorder="1" applyAlignment="1">
      <alignment horizontal="center" vertical="center" wrapText="1"/>
    </xf>
    <xf numFmtId="0" fontId="44" fillId="21" borderId="148" xfId="0" applyFont="1" applyFill="1" applyBorder="1" applyAlignment="1">
      <alignment horizontal="center" vertical="center" wrapText="1" readingOrder="1"/>
    </xf>
    <xf numFmtId="0" fontId="44" fillId="21" borderId="147" xfId="0" applyFont="1" applyFill="1" applyBorder="1" applyAlignment="1">
      <alignment horizontal="center" vertical="center" wrapText="1" readingOrder="1"/>
    </xf>
    <xf numFmtId="0" fontId="44" fillId="21" borderId="145" xfId="0" applyFont="1" applyFill="1" applyBorder="1" applyAlignment="1">
      <alignment horizontal="center" vertical="center" wrapText="1" readingOrder="1"/>
    </xf>
    <xf numFmtId="0" fontId="76" fillId="5" borderId="149" xfId="0" applyFont="1" applyFill="1" applyBorder="1" applyAlignment="1">
      <alignment horizontal="center" vertical="center" wrapText="1"/>
    </xf>
    <xf numFmtId="0" fontId="76" fillId="5" borderId="0" xfId="0" applyFont="1" applyFill="1" applyBorder="1" applyAlignment="1">
      <alignment horizontal="center" vertical="center" wrapText="1"/>
    </xf>
    <xf numFmtId="0" fontId="76" fillId="5" borderId="166" xfId="0" applyFont="1" applyFill="1" applyBorder="1" applyAlignment="1">
      <alignment horizontal="center" vertical="center" wrapText="1"/>
    </xf>
    <xf numFmtId="0" fontId="76" fillId="5" borderId="118" xfId="0" applyFont="1" applyFill="1" applyBorder="1" applyAlignment="1">
      <alignment horizontal="center" vertical="center" wrapText="1"/>
    </xf>
    <xf numFmtId="0" fontId="44" fillId="9" borderId="66" xfId="0" applyFont="1" applyFill="1" applyBorder="1" applyAlignment="1">
      <alignment horizontal="center" vertical="center" wrapText="1" readingOrder="1"/>
    </xf>
    <xf numFmtId="0" fontId="44" fillId="9" borderId="150" xfId="0" applyFont="1" applyFill="1" applyBorder="1" applyAlignment="1">
      <alignment horizontal="center" vertical="center" wrapText="1" readingOrder="1"/>
    </xf>
    <xf numFmtId="0" fontId="25" fillId="9" borderId="0" xfId="5" applyFill="1" applyBorder="1" applyAlignment="1">
      <alignment horizontal="center" vertical="center"/>
    </xf>
    <xf numFmtId="0" fontId="25" fillId="9" borderId="0" xfId="5" applyFill="1" applyAlignment="1">
      <alignment horizontal="center" vertical="center"/>
    </xf>
    <xf numFmtId="0" fontId="51" fillId="9" borderId="0" xfId="0" applyFont="1" applyFill="1" applyBorder="1" applyAlignment="1">
      <alignment horizontal="left" vertical="center" indent="1"/>
    </xf>
    <xf numFmtId="0" fontId="33" fillId="4" borderId="151" xfId="0" applyFont="1" applyFill="1" applyBorder="1" applyAlignment="1">
      <alignment horizontal="left" vertical="center" wrapText="1" indent="1"/>
    </xf>
    <xf numFmtId="0" fontId="33" fillId="4" borderId="152" xfId="0" applyFont="1" applyFill="1" applyBorder="1" applyAlignment="1">
      <alignment horizontal="left" vertical="center" wrapText="1" indent="1"/>
    </xf>
    <xf numFmtId="0" fontId="44" fillId="20" borderId="139" xfId="0" applyFont="1" applyFill="1" applyBorder="1" applyAlignment="1">
      <alignment horizontal="center" vertical="center"/>
    </xf>
    <xf numFmtId="0" fontId="44" fillId="20" borderId="137" xfId="0" applyFont="1" applyFill="1" applyBorder="1" applyAlignment="1">
      <alignment horizontal="center" vertical="center"/>
    </xf>
    <xf numFmtId="0" fontId="44" fillId="20" borderId="138" xfId="0" applyFont="1" applyFill="1" applyBorder="1" applyAlignment="1">
      <alignment horizontal="center" vertical="center"/>
    </xf>
    <xf numFmtId="0" fontId="33" fillId="4" borderId="155" xfId="0" applyFont="1" applyFill="1" applyBorder="1" applyAlignment="1">
      <alignment horizontal="left" vertical="center" wrapText="1" indent="1"/>
    </xf>
    <xf numFmtId="0" fontId="33" fillId="4" borderId="168" xfId="0" applyFont="1" applyFill="1" applyBorder="1" applyAlignment="1">
      <alignment horizontal="left" vertical="center" wrapText="1" indent="1"/>
    </xf>
    <xf numFmtId="0" fontId="44" fillId="30" borderId="163" xfId="0" applyFont="1" applyFill="1" applyBorder="1" applyAlignment="1">
      <alignment horizontal="center" vertical="center" wrapText="1" readingOrder="1"/>
    </xf>
    <xf numFmtId="0" fontId="44" fillId="30" borderId="134" xfId="0" applyFont="1" applyFill="1" applyBorder="1" applyAlignment="1">
      <alignment horizontal="center" vertical="center" wrapText="1" readingOrder="1"/>
    </xf>
    <xf numFmtId="0" fontId="44" fillId="30" borderId="165" xfId="0" applyFont="1" applyFill="1" applyBorder="1" applyAlignment="1">
      <alignment horizontal="center" vertical="center" wrapText="1" readingOrder="1"/>
    </xf>
    <xf numFmtId="0" fontId="33" fillId="4" borderId="143" xfId="0" applyFont="1" applyFill="1" applyBorder="1" applyAlignment="1">
      <alignment horizontal="left" vertical="center" wrapText="1" indent="1"/>
    </xf>
    <xf numFmtId="0" fontId="33" fillId="4" borderId="144" xfId="0" applyFont="1" applyFill="1" applyBorder="1" applyAlignment="1">
      <alignment horizontal="left" vertical="center" wrapText="1" indent="1"/>
    </xf>
    <xf numFmtId="0" fontId="44" fillId="9" borderId="66" xfId="0" applyFont="1" applyFill="1" applyBorder="1" applyAlignment="1">
      <alignment horizontal="center" vertical="center"/>
    </xf>
    <xf numFmtId="0" fontId="44" fillId="9" borderId="150" xfId="0" applyFont="1" applyFill="1" applyBorder="1" applyAlignment="1">
      <alignment horizontal="center" vertical="center"/>
    </xf>
    <xf numFmtId="0" fontId="33" fillId="4" borderId="19" xfId="0" applyFont="1" applyFill="1" applyBorder="1" applyAlignment="1">
      <alignment horizontal="left" vertical="center" wrapText="1" indent="1"/>
    </xf>
    <xf numFmtId="0" fontId="33" fillId="4" borderId="28" xfId="0" applyFont="1" applyFill="1" applyBorder="1" applyAlignment="1">
      <alignment horizontal="left" vertical="center" wrapText="1" indent="1"/>
    </xf>
    <xf numFmtId="0" fontId="44" fillId="21" borderId="146" xfId="0" applyFont="1" applyFill="1" applyBorder="1" applyAlignment="1">
      <alignment horizontal="center" vertical="center" wrapText="1" readingOrder="1"/>
    </xf>
    <xf numFmtId="0" fontId="51" fillId="4" borderId="0" xfId="0" applyFont="1" applyFill="1" applyBorder="1" applyAlignment="1">
      <alignment horizontal="center" vertical="center" wrapText="1"/>
    </xf>
    <xf numFmtId="0" fontId="46" fillId="4" borderId="0" xfId="8" applyNumberFormat="1" applyFont="1" applyFill="1" applyBorder="1" applyAlignment="1">
      <alignment horizontal="center" vertical="center"/>
    </xf>
    <xf numFmtId="0" fontId="46" fillId="4" borderId="2" xfId="8" applyNumberFormat="1" applyFont="1" applyFill="1" applyBorder="1" applyAlignment="1">
      <alignment horizontal="center" vertical="center"/>
    </xf>
    <xf numFmtId="0" fontId="59" fillId="4" borderId="6" xfId="11" applyFont="1" applyFill="1" applyBorder="1" applyAlignment="1">
      <alignment horizontal="left" vertical="center" indent="1"/>
    </xf>
    <xf numFmtId="0" fontId="59" fillId="4" borderId="7" xfId="11" applyFont="1" applyFill="1" applyBorder="1" applyAlignment="1">
      <alignment horizontal="left" vertical="center" indent="1"/>
    </xf>
    <xf numFmtId="0" fontId="44" fillId="9" borderId="0" xfId="0" applyFont="1" applyFill="1" applyBorder="1" applyAlignment="1">
      <alignment horizontal="left" vertical="center" wrapText="1" indent="1"/>
    </xf>
    <xf numFmtId="0" fontId="44" fillId="9" borderId="0" xfId="0" applyFont="1" applyFill="1" applyBorder="1" applyAlignment="1">
      <alignment horizontal="center" vertical="center" wrapText="1"/>
    </xf>
    <xf numFmtId="0" fontId="44" fillId="9" borderId="35" xfId="0" applyFont="1" applyFill="1" applyBorder="1" applyAlignment="1">
      <alignment horizontal="center" vertical="center" wrapText="1"/>
    </xf>
    <xf numFmtId="170" fontId="33" fillId="4" borderId="0" xfId="0" applyNumberFormat="1" applyFont="1" applyFill="1" applyBorder="1" applyAlignment="1">
      <alignment horizontal="center" vertical="center"/>
    </xf>
    <xf numFmtId="170" fontId="33" fillId="4" borderId="0" xfId="8" applyNumberFormat="1" applyFont="1" applyFill="1" applyBorder="1" applyAlignment="1">
      <alignment horizontal="center" vertical="center"/>
    </xf>
    <xf numFmtId="0" fontId="40" fillId="4" borderId="0" xfId="0" applyFont="1" applyFill="1" applyBorder="1" applyAlignment="1">
      <alignment horizontal="center" vertical="center" wrapText="1"/>
    </xf>
    <xf numFmtId="166" fontId="40" fillId="4" borderId="0" xfId="0" applyNumberFormat="1" applyFont="1" applyFill="1" applyBorder="1" applyAlignment="1">
      <alignment horizontal="center" vertical="center"/>
    </xf>
    <xf numFmtId="0" fontId="59" fillId="4" borderId="18" xfId="11" applyFont="1" applyFill="1" applyBorder="1" applyAlignment="1">
      <alignment horizontal="left" vertical="center" indent="1"/>
    </xf>
    <xf numFmtId="0" fontId="59" fillId="4" borderId="11" xfId="11" applyFont="1" applyFill="1" applyBorder="1" applyAlignment="1">
      <alignment horizontal="left" vertical="center" indent="1"/>
    </xf>
    <xf numFmtId="0" fontId="51" fillId="9" borderId="0" xfId="11" applyFont="1" applyFill="1" applyBorder="1" applyAlignment="1">
      <alignment horizontal="left" vertical="center" wrapText="1" indent="1"/>
    </xf>
    <xf numFmtId="0" fontId="51" fillId="9" borderId="0" xfId="8" applyNumberFormat="1" applyFont="1" applyFill="1" applyBorder="1" applyAlignment="1">
      <alignment horizontal="center" vertical="center"/>
    </xf>
    <xf numFmtId="0" fontId="51" fillId="9" borderId="0" xfId="0" applyFont="1" applyFill="1" applyAlignment="1">
      <alignment horizontal="center"/>
    </xf>
    <xf numFmtId="0" fontId="51" fillId="9" borderId="35" xfId="0" applyFont="1" applyFill="1" applyBorder="1" applyAlignment="1">
      <alignment horizontal="center"/>
    </xf>
    <xf numFmtId="0" fontId="59" fillId="4" borderId="17" xfId="11" applyFont="1" applyFill="1" applyBorder="1" applyAlignment="1">
      <alignment horizontal="left" vertical="center" indent="1"/>
    </xf>
    <xf numFmtId="0" fontId="59" fillId="4" borderId="12" xfId="11" applyFont="1" applyFill="1" applyBorder="1" applyAlignment="1">
      <alignment horizontal="left" vertical="center" indent="1"/>
    </xf>
    <xf numFmtId="0" fontId="44" fillId="4" borderId="0" xfId="0" applyFont="1" applyFill="1" applyBorder="1" applyAlignment="1">
      <alignment horizontal="center" vertical="center" wrapText="1"/>
    </xf>
    <xf numFmtId="0" fontId="33" fillId="4" borderId="179" xfId="0" applyFont="1" applyFill="1" applyBorder="1" applyAlignment="1">
      <alignment horizontal="left" vertical="center" wrapText="1" indent="1"/>
    </xf>
    <xf numFmtId="0" fontId="33" fillId="4" borderId="180" xfId="0" applyFont="1" applyFill="1" applyBorder="1" applyAlignment="1">
      <alignment horizontal="left" vertical="center" wrapText="1" indent="1"/>
    </xf>
    <xf numFmtId="0" fontId="33" fillId="4" borderId="170" xfId="0" applyFont="1" applyFill="1" applyBorder="1" applyAlignment="1">
      <alignment horizontal="left" vertical="center" wrapText="1" indent="1"/>
    </xf>
    <xf numFmtId="0" fontId="33" fillId="4" borderId="171" xfId="0" applyFont="1" applyFill="1" applyBorder="1" applyAlignment="1">
      <alignment horizontal="left" vertical="center" wrapText="1" indent="1"/>
    </xf>
    <xf numFmtId="0" fontId="33" fillId="4" borderId="173" xfId="0" applyFont="1" applyFill="1" applyBorder="1" applyAlignment="1">
      <alignment horizontal="left" vertical="center" wrapText="1" indent="1"/>
    </xf>
    <xf numFmtId="0" fontId="33" fillId="4" borderId="39" xfId="0" applyFont="1" applyFill="1" applyBorder="1" applyAlignment="1">
      <alignment horizontal="center" vertical="center" wrapText="1"/>
    </xf>
    <xf numFmtId="0" fontId="33" fillId="4" borderId="0" xfId="0" applyFont="1" applyFill="1" applyBorder="1" applyAlignment="1">
      <alignment horizontal="center" vertical="center" wrapText="1"/>
    </xf>
    <xf numFmtId="170" fontId="33" fillId="4" borderId="27" xfId="0" applyNumberFormat="1" applyFont="1" applyFill="1" applyBorder="1" applyAlignment="1">
      <alignment horizontal="center" vertical="center"/>
    </xf>
    <xf numFmtId="170" fontId="33" fillId="4" borderId="105" xfId="0" applyNumberFormat="1" applyFont="1" applyFill="1" applyBorder="1" applyAlignment="1">
      <alignment horizontal="center" vertical="center"/>
    </xf>
    <xf numFmtId="170" fontId="33" fillId="4" borderId="182" xfId="0" applyNumberFormat="1" applyFont="1" applyFill="1" applyBorder="1" applyAlignment="1">
      <alignment horizontal="center" vertical="center"/>
    </xf>
    <xf numFmtId="170" fontId="33" fillId="4" borderId="183" xfId="0" applyNumberFormat="1" applyFont="1" applyFill="1" applyBorder="1" applyAlignment="1">
      <alignment horizontal="center" vertical="center"/>
    </xf>
    <xf numFmtId="0" fontId="44" fillId="9" borderId="102" xfId="0" applyFont="1" applyFill="1" applyBorder="1" applyAlignment="1">
      <alignment horizontal="center" vertical="center" wrapText="1"/>
    </xf>
    <xf numFmtId="0" fontId="44" fillId="9" borderId="54" xfId="0" applyFont="1" applyFill="1" applyBorder="1" applyAlignment="1">
      <alignment horizontal="center" vertical="center" wrapText="1"/>
    </xf>
    <xf numFmtId="0" fontId="44" fillId="9" borderId="70" xfId="0" applyFont="1" applyFill="1" applyBorder="1" applyAlignment="1">
      <alignment horizontal="center" vertical="center" wrapText="1"/>
    </xf>
    <xf numFmtId="0" fontId="55" fillId="9" borderId="70" xfId="0" applyFont="1" applyFill="1" applyBorder="1" applyAlignment="1">
      <alignment horizontal="center" vertical="center" wrapText="1"/>
    </xf>
    <xf numFmtId="0" fontId="55" fillId="9" borderId="0" xfId="0" applyFont="1" applyFill="1" applyBorder="1" applyAlignment="1">
      <alignment horizontal="center" vertical="center" wrapText="1"/>
    </xf>
    <xf numFmtId="170" fontId="33" fillId="4" borderId="3" xfId="0" applyNumberFormat="1" applyFont="1" applyFill="1" applyBorder="1" applyAlignment="1">
      <alignment horizontal="center" vertical="center"/>
    </xf>
    <xf numFmtId="0" fontId="33" fillId="16" borderId="52" xfId="0" applyFont="1" applyFill="1" applyBorder="1" applyAlignment="1">
      <alignment horizontal="center" vertical="center" textRotation="90"/>
    </xf>
    <xf numFmtId="0" fontId="33" fillId="16" borderId="0" xfId="0" applyFont="1" applyFill="1" applyBorder="1" applyAlignment="1">
      <alignment horizontal="center" vertical="center" textRotation="90"/>
    </xf>
    <xf numFmtId="0" fontId="33" fillId="16" borderId="106" xfId="0" applyFont="1" applyFill="1" applyBorder="1" applyAlignment="1">
      <alignment horizontal="center" vertical="center" textRotation="90"/>
    </xf>
    <xf numFmtId="0" fontId="44" fillId="9" borderId="52" xfId="0" applyFont="1" applyFill="1" applyBorder="1" applyAlignment="1">
      <alignment horizontal="center" vertical="center" wrapText="1"/>
    </xf>
    <xf numFmtId="3" fontId="51" fillId="9" borderId="0" xfId="0" applyNumberFormat="1" applyFont="1" applyFill="1" applyBorder="1" applyAlignment="1">
      <alignment horizontal="center" vertical="center" wrapText="1"/>
    </xf>
    <xf numFmtId="170" fontId="33" fillId="4" borderId="1" xfId="0" applyNumberFormat="1" applyFont="1" applyFill="1" applyBorder="1" applyAlignment="1">
      <alignment horizontal="center" vertical="center"/>
    </xf>
    <xf numFmtId="170" fontId="33" fillId="4" borderId="2" xfId="0" applyNumberFormat="1" applyFont="1" applyFill="1" applyBorder="1" applyAlignment="1">
      <alignment horizontal="center" vertical="center"/>
    </xf>
    <xf numFmtId="170" fontId="33" fillId="4" borderId="11" xfId="0" applyNumberFormat="1" applyFont="1" applyFill="1" applyBorder="1" applyAlignment="1">
      <alignment horizontal="center" vertical="center"/>
    </xf>
    <xf numFmtId="0" fontId="44" fillId="9" borderId="36" xfId="0" applyFont="1" applyFill="1" applyBorder="1" applyAlignment="1">
      <alignment horizontal="left" vertical="center" wrapText="1" indent="1"/>
    </xf>
    <xf numFmtId="0" fontId="33" fillId="4" borderId="0" xfId="0" applyFont="1" applyFill="1" applyBorder="1" applyAlignment="1">
      <alignment horizontal="left" vertical="center" indent="1"/>
    </xf>
    <xf numFmtId="0" fontId="44" fillId="9" borderId="99" xfId="0" applyFont="1" applyFill="1" applyBorder="1" applyAlignment="1">
      <alignment horizontal="left" vertical="center" indent="1"/>
    </xf>
    <xf numFmtId="0" fontId="44" fillId="9" borderId="86" xfId="0" applyFont="1" applyFill="1" applyBorder="1" applyAlignment="1">
      <alignment horizontal="left" vertical="center" indent="1"/>
    </xf>
    <xf numFmtId="0" fontId="44" fillId="9" borderId="100" xfId="0" applyFont="1" applyFill="1" applyBorder="1" applyAlignment="1">
      <alignment horizontal="left" vertical="center" indent="1"/>
    </xf>
    <xf numFmtId="170" fontId="51" fillId="9" borderId="0" xfId="0" applyNumberFormat="1" applyFont="1" applyFill="1" applyBorder="1" applyAlignment="1">
      <alignment horizontal="center" vertical="center"/>
    </xf>
    <xf numFmtId="170" fontId="51" fillId="9" borderId="35" xfId="0" applyNumberFormat="1" applyFont="1" applyFill="1" applyBorder="1" applyAlignment="1">
      <alignment horizontal="center" vertical="center"/>
    </xf>
    <xf numFmtId="2" fontId="44" fillId="9" borderId="68" xfId="0" applyNumberFormat="1" applyFont="1" applyFill="1" applyBorder="1" applyAlignment="1">
      <alignment horizontal="center" vertical="center" wrapText="1"/>
    </xf>
    <xf numFmtId="2" fontId="44" fillId="9" borderId="56" xfId="0" applyNumberFormat="1" applyFont="1" applyFill="1" applyBorder="1" applyAlignment="1">
      <alignment horizontal="center" vertical="center" wrapText="1"/>
    </xf>
    <xf numFmtId="2" fontId="44" fillId="9" borderId="69" xfId="0" applyNumberFormat="1" applyFont="1" applyFill="1" applyBorder="1" applyAlignment="1">
      <alignment horizontal="center" vertical="center" wrapText="1"/>
    </xf>
    <xf numFmtId="0" fontId="44" fillId="9" borderId="55" xfId="0" applyFont="1" applyFill="1" applyBorder="1" applyAlignment="1">
      <alignment horizontal="center" vertical="center" wrapText="1"/>
    </xf>
    <xf numFmtId="0" fontId="55" fillId="9" borderId="52" xfId="0" applyFont="1" applyFill="1" applyBorder="1" applyAlignment="1">
      <alignment horizontal="center" vertical="center" wrapText="1"/>
    </xf>
    <xf numFmtId="170" fontId="33" fillId="4" borderId="17" xfId="0" applyNumberFormat="1" applyFont="1" applyFill="1" applyBorder="1" applyAlignment="1">
      <alignment horizontal="center" vertical="center"/>
    </xf>
    <xf numFmtId="170" fontId="33" fillId="4" borderId="29" xfId="0" applyNumberFormat="1" applyFont="1" applyFill="1" applyBorder="1" applyAlignment="1">
      <alignment horizontal="center" vertical="center"/>
    </xf>
    <xf numFmtId="170" fontId="33" fillId="4" borderId="22" xfId="0" applyNumberFormat="1" applyFont="1" applyFill="1" applyBorder="1" applyAlignment="1">
      <alignment horizontal="center" vertical="center"/>
    </xf>
    <xf numFmtId="170" fontId="33" fillId="4" borderId="31" xfId="0" applyNumberFormat="1" applyFont="1" applyFill="1" applyBorder="1" applyAlignment="1">
      <alignment horizontal="center" vertical="center"/>
    </xf>
    <xf numFmtId="170" fontId="33" fillId="4" borderId="30" xfId="0" applyNumberFormat="1" applyFont="1" applyFill="1" applyBorder="1" applyAlignment="1">
      <alignment horizontal="center" vertical="center"/>
    </xf>
    <xf numFmtId="170" fontId="33" fillId="4" borderId="181" xfId="0" applyNumberFormat="1" applyFont="1" applyFill="1" applyBorder="1" applyAlignment="1">
      <alignment horizontal="center" vertical="center"/>
    </xf>
    <xf numFmtId="170" fontId="33" fillId="4" borderId="52" xfId="0" applyNumberFormat="1" applyFont="1" applyFill="1" applyBorder="1" applyAlignment="1">
      <alignment horizontal="center" vertical="center" wrapText="1"/>
    </xf>
    <xf numFmtId="170" fontId="33" fillId="4" borderId="29" xfId="0" applyNumberFormat="1" applyFont="1" applyFill="1" applyBorder="1" applyAlignment="1">
      <alignment horizontal="center" vertical="center" wrapText="1"/>
    </xf>
    <xf numFmtId="170" fontId="33" fillId="4" borderId="101" xfId="0" applyNumberFormat="1" applyFont="1" applyFill="1" applyBorder="1" applyAlignment="1">
      <alignment horizontal="center" vertical="center" wrapText="1"/>
    </xf>
    <xf numFmtId="0" fontId="44" fillId="9" borderId="114" xfId="0" applyFont="1" applyFill="1" applyBorder="1" applyAlignment="1">
      <alignment horizontal="left" vertical="center" indent="1"/>
    </xf>
    <xf numFmtId="0" fontId="44" fillId="9" borderId="54" xfId="0" applyFont="1" applyFill="1" applyBorder="1" applyAlignment="1">
      <alignment horizontal="left" vertical="center" indent="1"/>
    </xf>
    <xf numFmtId="0" fontId="44" fillId="9" borderId="0" xfId="0" applyFont="1" applyFill="1" applyBorder="1" applyAlignment="1">
      <alignment horizontal="left" vertical="center" indent="1"/>
    </xf>
    <xf numFmtId="0" fontId="44" fillId="9" borderId="51" xfId="0" applyFont="1" applyFill="1" applyBorder="1" applyAlignment="1">
      <alignment horizontal="left" vertical="center" indent="1"/>
    </xf>
    <xf numFmtId="0" fontId="44" fillId="9" borderId="73" xfId="0" applyFont="1" applyFill="1" applyBorder="1" applyAlignment="1">
      <alignment horizontal="left" vertical="center" wrapText="1" indent="1"/>
    </xf>
    <xf numFmtId="0" fontId="44" fillId="9" borderId="51" xfId="0" applyFont="1" applyFill="1" applyBorder="1" applyAlignment="1">
      <alignment horizontal="left" vertical="center" wrapText="1" indent="1"/>
    </xf>
    <xf numFmtId="0" fontId="44" fillId="9" borderId="73" xfId="0" applyFont="1" applyFill="1" applyBorder="1" applyAlignment="1">
      <alignment horizontal="left" vertical="center" indent="1"/>
    </xf>
    <xf numFmtId="0" fontId="44" fillId="9" borderId="39" xfId="0" applyFont="1" applyFill="1" applyBorder="1" applyAlignment="1">
      <alignment horizontal="left" vertical="center" indent="1"/>
    </xf>
    <xf numFmtId="0" fontId="44" fillId="9" borderId="71" xfId="0" applyFont="1" applyFill="1" applyBorder="1" applyAlignment="1">
      <alignment horizontal="center" vertical="center" wrapText="1"/>
    </xf>
    <xf numFmtId="0" fontId="44" fillId="9" borderId="39" xfId="0" applyFont="1" applyFill="1" applyBorder="1" applyAlignment="1">
      <alignment horizontal="center" vertical="center" wrapText="1"/>
    </xf>
    <xf numFmtId="0" fontId="33" fillId="4" borderId="27" xfId="0" applyFont="1" applyFill="1" applyBorder="1" applyAlignment="1">
      <alignment horizontal="left" vertical="center" wrapText="1" indent="1"/>
    </xf>
    <xf numFmtId="0" fontId="33" fillId="4" borderId="23" xfId="0" applyFont="1" applyFill="1" applyBorder="1" applyAlignment="1">
      <alignment horizontal="left" vertical="center" wrapText="1" indent="1"/>
    </xf>
    <xf numFmtId="0" fontId="44" fillId="9" borderId="39" xfId="0" applyFont="1" applyFill="1" applyBorder="1" applyAlignment="1">
      <alignment horizontal="center" vertical="center"/>
    </xf>
    <xf numFmtId="0" fontId="44" fillId="9" borderId="72" xfId="0" applyFont="1" applyFill="1" applyBorder="1" applyAlignment="1">
      <alignment horizontal="center" vertical="center"/>
    </xf>
    <xf numFmtId="0" fontId="44" fillId="9" borderId="56" xfId="0" applyFont="1" applyFill="1" applyBorder="1" applyAlignment="1">
      <alignment horizontal="center" vertical="center"/>
    </xf>
    <xf numFmtId="0" fontId="33" fillId="4" borderId="2" xfId="7" applyFont="1" applyFill="1" applyBorder="1" applyAlignment="1">
      <alignment horizontal="left" vertical="center" wrapText="1" indent="1"/>
    </xf>
    <xf numFmtId="0" fontId="33" fillId="4" borderId="11" xfId="7" applyFont="1" applyFill="1" applyBorder="1" applyAlignment="1">
      <alignment horizontal="left" vertical="center" wrapText="1" indent="1"/>
    </xf>
    <xf numFmtId="0" fontId="51" fillId="9" borderId="66" xfId="0" applyFont="1" applyFill="1" applyBorder="1" applyAlignment="1">
      <alignment horizontal="center" vertical="center"/>
    </xf>
    <xf numFmtId="0" fontId="44" fillId="9" borderId="78" xfId="0" applyFont="1" applyFill="1" applyBorder="1" applyAlignment="1">
      <alignment horizontal="center" vertical="center" wrapText="1"/>
    </xf>
    <xf numFmtId="0" fontId="51" fillId="9" borderId="66" xfId="0" applyFont="1" applyFill="1" applyBorder="1" applyAlignment="1">
      <alignment horizontal="center" vertical="center" wrapText="1"/>
    </xf>
    <xf numFmtId="0" fontId="51" fillId="9" borderId="0" xfId="0" applyFont="1" applyFill="1" applyBorder="1" applyAlignment="1">
      <alignment horizontal="center" vertical="center" wrapText="1"/>
    </xf>
    <xf numFmtId="0" fontId="44" fillId="9" borderId="56" xfId="0" applyFont="1" applyFill="1" applyBorder="1" applyAlignment="1">
      <alignment horizontal="center" vertical="center" wrapText="1"/>
    </xf>
    <xf numFmtId="0" fontId="44" fillId="9" borderId="67" xfId="0" applyFont="1" applyFill="1" applyBorder="1" applyAlignment="1">
      <alignment horizontal="center" vertical="center" wrapText="1"/>
    </xf>
    <xf numFmtId="0" fontId="44" fillId="9" borderId="40" xfId="0" applyFont="1" applyFill="1" applyBorder="1" applyAlignment="1">
      <alignment horizontal="center" vertical="center" wrapText="1"/>
    </xf>
    <xf numFmtId="0" fontId="44" fillId="9" borderId="66" xfId="0" applyFont="1" applyFill="1" applyBorder="1" applyAlignment="1">
      <alignment horizontal="center" vertical="center" wrapText="1"/>
    </xf>
    <xf numFmtId="0" fontId="51" fillId="9" borderId="35" xfId="0" applyFont="1" applyFill="1" applyBorder="1" applyAlignment="1">
      <alignment horizontal="center" vertical="center" wrapText="1"/>
    </xf>
    <xf numFmtId="0" fontId="58" fillId="9" borderId="66" xfId="0" applyFont="1" applyFill="1" applyBorder="1" applyAlignment="1">
      <alignment horizontal="center" vertical="center" wrapText="1"/>
    </xf>
    <xf numFmtId="0" fontId="58" fillId="9" borderId="35" xfId="0" applyFont="1" applyFill="1" applyBorder="1" applyAlignment="1">
      <alignment horizontal="center" vertical="center" wrapText="1"/>
    </xf>
    <xf numFmtId="0" fontId="55" fillId="9" borderId="66" xfId="0" applyFont="1" applyFill="1" applyBorder="1" applyAlignment="1">
      <alignment horizontal="center" vertical="center" wrapText="1"/>
    </xf>
    <xf numFmtId="0" fontId="55" fillId="9" borderId="35" xfId="0" applyFont="1" applyFill="1" applyBorder="1" applyAlignment="1">
      <alignment horizontal="center" vertical="center" wrapText="1"/>
    </xf>
    <xf numFmtId="170" fontId="51" fillId="9" borderId="0" xfId="0" applyNumberFormat="1" applyFont="1" applyFill="1" applyBorder="1" applyAlignment="1">
      <alignment horizontal="center" vertical="center" wrapText="1"/>
    </xf>
    <xf numFmtId="170" fontId="33" fillId="4" borderId="0" xfId="0" applyNumberFormat="1" applyFont="1" applyFill="1" applyAlignment="1">
      <alignment horizontal="center" vertical="center"/>
    </xf>
    <xf numFmtId="0" fontId="33" fillId="17" borderId="130" xfId="0" applyFont="1" applyFill="1" applyBorder="1" applyAlignment="1">
      <alignment horizontal="center" vertical="center" textRotation="90"/>
    </xf>
    <xf numFmtId="0" fontId="33" fillId="17" borderId="0" xfId="0" applyFont="1" applyFill="1" applyBorder="1" applyAlignment="1">
      <alignment horizontal="center" vertical="center" textRotation="90"/>
    </xf>
    <xf numFmtId="0" fontId="33" fillId="17" borderId="106" xfId="0" applyFont="1" applyFill="1" applyBorder="1" applyAlignment="1">
      <alignment horizontal="center" vertical="center" textRotation="90"/>
    </xf>
    <xf numFmtId="0" fontId="33" fillId="4" borderId="29" xfId="0" applyFont="1" applyFill="1" applyBorder="1" applyAlignment="1">
      <alignment horizontal="center" vertical="center"/>
    </xf>
    <xf numFmtId="0" fontId="33" fillId="4" borderId="12" xfId="0" applyFont="1" applyFill="1" applyBorder="1" applyAlignment="1">
      <alignment horizontal="center" vertical="center"/>
    </xf>
    <xf numFmtId="170" fontId="33" fillId="4" borderId="13" xfId="0" applyNumberFormat="1" applyFont="1" applyFill="1" applyBorder="1" applyAlignment="1">
      <alignment horizontal="center" vertical="center"/>
    </xf>
    <xf numFmtId="0" fontId="44" fillId="28" borderId="0" xfId="0" applyFont="1" applyFill="1" applyBorder="1" applyAlignment="1">
      <alignment horizontal="left" vertical="center" wrapText="1" indent="1"/>
    </xf>
    <xf numFmtId="0" fontId="51" fillId="28" borderId="0" xfId="0" applyFont="1" applyFill="1" applyBorder="1" applyAlignment="1">
      <alignment horizontal="center" vertical="center" wrapText="1"/>
    </xf>
    <xf numFmtId="170" fontId="51" fillId="28" borderId="0" xfId="0" applyNumberFormat="1" applyFont="1" applyFill="1" applyBorder="1" applyAlignment="1">
      <alignment horizontal="center" vertical="center" wrapText="1"/>
    </xf>
    <xf numFmtId="170" fontId="51" fillId="28" borderId="128" xfId="0" applyNumberFormat="1" applyFont="1" applyFill="1" applyBorder="1" applyAlignment="1">
      <alignment horizontal="center" vertical="center" wrapText="1"/>
    </xf>
    <xf numFmtId="170" fontId="51" fillId="9" borderId="35" xfId="0" applyNumberFormat="1" applyFont="1" applyFill="1" applyBorder="1" applyAlignment="1">
      <alignment horizontal="center" vertical="center" wrapText="1"/>
    </xf>
    <xf numFmtId="0" fontId="51" fillId="28" borderId="0" xfId="0" applyFont="1" applyFill="1" applyBorder="1" applyAlignment="1">
      <alignment horizontal="center" vertical="center"/>
    </xf>
    <xf numFmtId="0" fontId="51" fillId="28" borderId="128" xfId="0" applyFont="1" applyFill="1" applyBorder="1" applyAlignment="1">
      <alignment horizontal="center" vertical="center"/>
    </xf>
    <xf numFmtId="170" fontId="33" fillId="4" borderId="21" xfId="0" applyNumberFormat="1" applyFont="1" applyFill="1" applyBorder="1" applyAlignment="1">
      <alignment horizontal="center" vertical="center"/>
    </xf>
    <xf numFmtId="170" fontId="33" fillId="4" borderId="7" xfId="0" applyNumberFormat="1" applyFont="1" applyFill="1" applyBorder="1" applyAlignment="1">
      <alignment horizontal="center" vertical="center"/>
    </xf>
    <xf numFmtId="0" fontId="44" fillId="15" borderId="1" xfId="0" applyFont="1" applyFill="1" applyBorder="1" applyAlignment="1">
      <alignment horizontal="center" vertical="center" wrapText="1"/>
    </xf>
    <xf numFmtId="0" fontId="44" fillId="15" borderId="16" xfId="0" applyFont="1" applyFill="1" applyBorder="1" applyAlignment="1">
      <alignment horizontal="center" vertical="center" wrapText="1"/>
    </xf>
    <xf numFmtId="0" fontId="44" fillId="15" borderId="75" xfId="0" applyFont="1" applyFill="1" applyBorder="1" applyAlignment="1">
      <alignment horizontal="center" vertical="center" wrapText="1"/>
    </xf>
    <xf numFmtId="0" fontId="44" fillId="15" borderId="3" xfId="0" applyFont="1" applyFill="1" applyBorder="1" applyAlignment="1">
      <alignment horizontal="center" vertical="center" wrapText="1"/>
    </xf>
    <xf numFmtId="172" fontId="72" fillId="0" borderId="113" xfId="0" applyNumberFormat="1" applyFont="1" applyBorder="1" applyAlignment="1">
      <alignment horizontal="center" vertical="center"/>
    </xf>
    <xf numFmtId="172" fontId="72" fillId="0" borderId="57" xfId="0" applyNumberFormat="1" applyFont="1" applyBorder="1" applyAlignment="1">
      <alignment horizontal="center" vertical="center"/>
    </xf>
    <xf numFmtId="172" fontId="51" fillId="9" borderId="0" xfId="0" applyNumberFormat="1" applyFont="1" applyFill="1" applyBorder="1" applyAlignment="1">
      <alignment horizontal="center" vertical="center"/>
    </xf>
    <xf numFmtId="172" fontId="51" fillId="9" borderId="35" xfId="0" applyNumberFormat="1" applyFont="1" applyFill="1" applyBorder="1" applyAlignment="1">
      <alignment horizontal="center" vertical="center"/>
    </xf>
    <xf numFmtId="0" fontId="33" fillId="16" borderId="95" xfId="0" applyFont="1" applyFill="1" applyBorder="1" applyAlignment="1">
      <alignment horizontal="center" vertical="center" textRotation="90"/>
    </xf>
    <xf numFmtId="0" fontId="44" fillId="15" borderId="2" xfId="0" applyFont="1" applyFill="1" applyBorder="1" applyAlignment="1">
      <alignment horizontal="left" vertical="center" indent="1"/>
    </xf>
    <xf numFmtId="0" fontId="44" fillId="15" borderId="74" xfId="0" applyFont="1" applyFill="1" applyBorder="1" applyAlignment="1">
      <alignment horizontal="left" vertical="center" indent="1"/>
    </xf>
    <xf numFmtId="0" fontId="44" fillId="15" borderId="2" xfId="0" applyFont="1" applyFill="1" applyBorder="1" applyAlignment="1">
      <alignment horizontal="center" vertical="center"/>
    </xf>
    <xf numFmtId="0" fontId="44" fillId="15" borderId="77" xfId="0" applyFont="1" applyFill="1" applyBorder="1" applyAlignment="1">
      <alignment horizontal="center" vertical="center"/>
    </xf>
    <xf numFmtId="0" fontId="44" fillId="15" borderId="0" xfId="0" applyFont="1" applyFill="1" applyBorder="1" applyAlignment="1">
      <alignment horizontal="left" vertical="center" indent="1"/>
    </xf>
    <xf numFmtId="0" fontId="44" fillId="15" borderId="76" xfId="0" applyFont="1" applyFill="1" applyBorder="1" applyAlignment="1">
      <alignment horizontal="center" vertical="center"/>
    </xf>
    <xf numFmtId="0" fontId="44" fillId="15" borderId="35" xfId="0" applyFont="1" applyFill="1" applyBorder="1" applyAlignment="1">
      <alignment horizontal="center" vertical="center"/>
    </xf>
    <xf numFmtId="0" fontId="44" fillId="15" borderId="66" xfId="0" applyFont="1" applyFill="1" applyBorder="1" applyAlignment="1">
      <alignment horizontal="center" vertical="center" wrapText="1"/>
    </xf>
    <xf numFmtId="0" fontId="44" fillId="15" borderId="0" xfId="0" applyFont="1" applyFill="1" applyBorder="1" applyAlignment="1">
      <alignment horizontal="center" vertical="center" wrapText="1"/>
    </xf>
    <xf numFmtId="0" fontId="44" fillId="15" borderId="35" xfId="0" applyFont="1" applyFill="1" applyBorder="1" applyAlignment="1">
      <alignment horizontal="center" vertical="center" wrapText="1"/>
    </xf>
    <xf numFmtId="0" fontId="51" fillId="9" borderId="0" xfId="0" applyFont="1" applyFill="1" applyAlignment="1">
      <alignment horizontal="left" vertical="center" wrapText="1"/>
    </xf>
    <xf numFmtId="0" fontId="46" fillId="4" borderId="0" xfId="0" applyFont="1" applyFill="1" applyAlignment="1">
      <alignment horizontal="left" vertical="center" wrapText="1" indent="1"/>
    </xf>
    <xf numFmtId="9" fontId="33" fillId="4" borderId="15" xfId="0" applyNumberFormat="1" applyFont="1" applyFill="1" applyBorder="1" applyAlignment="1">
      <alignment horizontal="center" vertical="center"/>
    </xf>
    <xf numFmtId="49" fontId="33" fillId="4" borderId="15" xfId="0" applyNumberFormat="1" applyFont="1" applyFill="1" applyBorder="1" applyAlignment="1">
      <alignment horizontal="center" vertical="center"/>
    </xf>
    <xf numFmtId="0" fontId="18" fillId="4" borderId="30" xfId="0" applyFont="1" applyFill="1" applyBorder="1" applyAlignment="1">
      <alignment horizontal="left" vertical="center" wrapText="1" indent="1"/>
    </xf>
    <xf numFmtId="0" fontId="18" fillId="4" borderId="23" xfId="0" applyFont="1" applyFill="1" applyBorder="1" applyAlignment="1">
      <alignment horizontal="left" vertical="center" wrapText="1" indent="1"/>
    </xf>
    <xf numFmtId="0" fontId="33" fillId="4" borderId="16" xfId="0" applyFont="1" applyFill="1" applyBorder="1" applyAlignment="1">
      <alignment horizontal="left" vertical="center" wrapText="1" indent="1"/>
    </xf>
    <xf numFmtId="0" fontId="33" fillId="4" borderId="20" xfId="0" applyFont="1" applyFill="1" applyBorder="1" applyAlignment="1">
      <alignment horizontal="left" vertical="center" wrapText="1" indent="1"/>
    </xf>
    <xf numFmtId="0" fontId="18" fillId="4" borderId="22" xfId="0" applyFont="1" applyFill="1" applyBorder="1" applyAlignment="1">
      <alignment horizontal="left" vertical="center" indent="1"/>
    </xf>
    <xf numFmtId="0" fontId="18" fillId="4" borderId="13" xfId="0" applyFont="1" applyFill="1" applyBorder="1" applyAlignment="1">
      <alignment horizontal="left" vertical="center" indent="1"/>
    </xf>
    <xf numFmtId="0" fontId="18" fillId="4" borderId="3" xfId="0" applyFont="1" applyFill="1" applyBorder="1" applyAlignment="1">
      <alignment horizontal="left" vertical="center" indent="1"/>
    </xf>
    <xf numFmtId="0" fontId="18" fillId="4" borderId="1" xfId="0" applyFont="1" applyFill="1" applyBorder="1" applyAlignment="1">
      <alignment horizontal="left" vertical="center" indent="1"/>
    </xf>
    <xf numFmtId="0" fontId="46" fillId="4" borderId="0" xfId="0" applyFont="1" applyFill="1" applyBorder="1" applyAlignment="1">
      <alignment horizontal="left" vertical="center" wrapText="1"/>
    </xf>
    <xf numFmtId="0" fontId="33" fillId="4" borderId="19" xfId="0" applyFont="1" applyFill="1" applyBorder="1" applyAlignment="1">
      <alignment horizontal="left" vertical="center" indent="1"/>
    </xf>
    <xf numFmtId="0" fontId="33" fillId="4" borderId="28" xfId="0" applyFont="1" applyFill="1" applyBorder="1" applyAlignment="1">
      <alignment horizontal="left" vertical="center" indent="1"/>
    </xf>
    <xf numFmtId="0" fontId="44" fillId="9" borderId="0" xfId="0" applyFont="1" applyFill="1" applyBorder="1" applyAlignment="1">
      <alignment horizontal="center"/>
    </xf>
    <xf numFmtId="0" fontId="44" fillId="9" borderId="35" xfId="0" applyFont="1" applyFill="1" applyBorder="1" applyAlignment="1">
      <alignment horizontal="center"/>
    </xf>
    <xf numFmtId="0" fontId="33" fillId="16" borderId="1" xfId="0" applyFont="1" applyFill="1" applyBorder="1" applyAlignment="1">
      <alignment horizontal="center" vertical="center" textRotation="90"/>
    </xf>
    <xf numFmtId="0" fontId="33" fillId="16" borderId="81" xfId="0" applyFont="1" applyFill="1" applyBorder="1" applyAlignment="1">
      <alignment horizontal="center" vertical="center" textRotation="90"/>
    </xf>
    <xf numFmtId="170" fontId="72" fillId="4" borderId="17" xfId="0" applyNumberFormat="1" applyFont="1" applyFill="1" applyBorder="1" applyAlignment="1">
      <alignment horizontal="center" vertical="center"/>
    </xf>
    <xf numFmtId="170" fontId="72" fillId="4" borderId="12" xfId="0" applyNumberFormat="1" applyFont="1" applyFill="1" applyBorder="1" applyAlignment="1">
      <alignment horizontal="center" vertical="center"/>
    </xf>
    <xf numFmtId="170" fontId="18" fillId="4" borderId="22" xfId="0" applyNumberFormat="1" applyFont="1" applyFill="1" applyBorder="1" applyAlignment="1">
      <alignment horizontal="center" vertical="center"/>
    </xf>
    <xf numFmtId="170" fontId="18" fillId="4" borderId="13" xfId="0" applyNumberFormat="1" applyFont="1" applyFill="1" applyBorder="1" applyAlignment="1">
      <alignment horizontal="center" vertical="center"/>
    </xf>
    <xf numFmtId="0" fontId="44" fillId="9" borderId="45" xfId="0" applyFont="1" applyFill="1" applyBorder="1" applyAlignment="1">
      <alignment horizontal="center" vertical="center"/>
    </xf>
    <xf numFmtId="0" fontId="44" fillId="9" borderId="66" xfId="0" applyFont="1" applyFill="1" applyBorder="1" applyAlignment="1">
      <alignment horizontal="left" vertical="center" indent="1"/>
    </xf>
    <xf numFmtId="0" fontId="44" fillId="9" borderId="49" xfId="0" applyFont="1" applyFill="1" applyBorder="1" applyAlignment="1">
      <alignment horizontal="left" vertical="center" indent="1"/>
    </xf>
    <xf numFmtId="170" fontId="18" fillId="4" borderId="3" xfId="0" applyNumberFormat="1" applyFont="1" applyFill="1" applyBorder="1" applyAlignment="1">
      <alignment horizontal="center" vertical="center"/>
    </xf>
    <xf numFmtId="170" fontId="18" fillId="4" borderId="0" xfId="0" applyNumberFormat="1" applyFont="1" applyFill="1" applyBorder="1" applyAlignment="1">
      <alignment horizontal="center" vertical="center"/>
    </xf>
    <xf numFmtId="170" fontId="18" fillId="4" borderId="17" xfId="0" applyNumberFormat="1" applyFont="1" applyFill="1" applyBorder="1" applyAlignment="1">
      <alignment horizontal="center" vertical="center"/>
    </xf>
    <xf numFmtId="170" fontId="18" fillId="4" borderId="29" xfId="0" applyNumberFormat="1" applyFont="1" applyFill="1" applyBorder="1" applyAlignment="1">
      <alignment horizontal="center" vertical="center"/>
    </xf>
    <xf numFmtId="170" fontId="72" fillId="4" borderId="22" xfId="0" applyNumberFormat="1" applyFont="1" applyFill="1" applyBorder="1" applyAlignment="1">
      <alignment horizontal="center" vertical="center"/>
    </xf>
    <xf numFmtId="170" fontId="72" fillId="4" borderId="31" xfId="0" applyNumberFormat="1" applyFont="1" applyFill="1" applyBorder="1" applyAlignment="1">
      <alignment horizontal="center" vertical="center"/>
    </xf>
    <xf numFmtId="6" fontId="51" fillId="9" borderId="0" xfId="0" applyNumberFormat="1" applyFont="1" applyFill="1" applyBorder="1" applyAlignment="1">
      <alignment horizontal="center" vertical="center"/>
    </xf>
    <xf numFmtId="6" fontId="51" fillId="9" borderId="35" xfId="0" applyNumberFormat="1" applyFont="1" applyFill="1" applyBorder="1" applyAlignment="1">
      <alignment horizontal="center" vertical="center"/>
    </xf>
    <xf numFmtId="171" fontId="18" fillId="4" borderId="3" xfId="0" applyNumberFormat="1" applyFont="1" applyFill="1" applyBorder="1" applyAlignment="1">
      <alignment horizontal="center" vertical="center"/>
    </xf>
    <xf numFmtId="171" fontId="18" fillId="4" borderId="1" xfId="0" applyNumberFormat="1" applyFont="1" applyFill="1" applyBorder="1" applyAlignment="1">
      <alignment horizontal="center" vertical="center"/>
    </xf>
    <xf numFmtId="171" fontId="18" fillId="4" borderId="17" xfId="0" applyNumberFormat="1" applyFont="1" applyFill="1" applyBorder="1" applyAlignment="1">
      <alignment horizontal="center" vertical="center"/>
    </xf>
    <xf numFmtId="171" fontId="18" fillId="4" borderId="12" xfId="0" applyNumberFormat="1" applyFont="1" applyFill="1" applyBorder="1" applyAlignment="1">
      <alignment horizontal="center" vertical="center"/>
    </xf>
    <xf numFmtId="171" fontId="72" fillId="4" borderId="22" xfId="0" applyNumberFormat="1" applyFont="1" applyFill="1" applyBorder="1" applyAlignment="1">
      <alignment horizontal="center" vertical="center"/>
    </xf>
    <xf numFmtId="171" fontId="72" fillId="4" borderId="13" xfId="0" applyNumberFormat="1" applyFont="1" applyFill="1" applyBorder="1" applyAlignment="1">
      <alignment horizontal="center" vertical="center"/>
    </xf>
    <xf numFmtId="0" fontId="18" fillId="0" borderId="79" xfId="0" applyFont="1" applyBorder="1" applyAlignment="1">
      <alignment horizontal="left" vertical="center" indent="1"/>
    </xf>
    <xf numFmtId="0" fontId="18" fillId="0" borderId="80" xfId="0" applyFont="1" applyBorder="1" applyAlignment="1">
      <alignment horizontal="left" vertical="center" indent="1"/>
    </xf>
    <xf numFmtId="0" fontId="18" fillId="0" borderId="30" xfId="0" applyFont="1" applyBorder="1" applyAlignment="1">
      <alignment horizontal="left" vertical="center" wrapText="1" indent="1"/>
    </xf>
    <xf numFmtId="0" fontId="18" fillId="0" borderId="23" xfId="0" applyFont="1" applyBorder="1" applyAlignment="1">
      <alignment horizontal="left" vertical="center" wrapText="1" indent="1"/>
    </xf>
    <xf numFmtId="0" fontId="54" fillId="9" borderId="0" xfId="0" applyFont="1" applyFill="1" applyBorder="1" applyAlignment="1">
      <alignment horizontal="center" vertical="center"/>
    </xf>
    <xf numFmtId="0" fontId="54" fillId="9" borderId="35" xfId="0" applyFont="1" applyFill="1" applyBorder="1" applyAlignment="1">
      <alignment horizontal="center" vertical="center"/>
    </xf>
    <xf numFmtId="0" fontId="33" fillId="4" borderId="9" xfId="0" applyFont="1" applyFill="1" applyBorder="1" applyAlignment="1">
      <alignment horizontal="left" vertical="center" indent="1"/>
    </xf>
    <xf numFmtId="0" fontId="33" fillId="4" borderId="4" xfId="0" applyFont="1" applyFill="1" applyBorder="1" applyAlignment="1">
      <alignment horizontal="left" vertical="center" indent="1"/>
    </xf>
    <xf numFmtId="0" fontId="33" fillId="4" borderId="8" xfId="0" applyFont="1" applyFill="1" applyBorder="1" applyAlignment="1">
      <alignment horizontal="left" vertical="center" indent="1"/>
    </xf>
    <xf numFmtId="0" fontId="33" fillId="4" borderId="16" xfId="0" applyFont="1" applyFill="1" applyBorder="1" applyAlignment="1">
      <alignment horizontal="left" vertical="center" indent="1"/>
    </xf>
    <xf numFmtId="0" fontId="2" fillId="4" borderId="0" xfId="0" applyNumberFormat="1" applyFont="1" applyFill="1" applyBorder="1" applyAlignment="1">
      <alignment horizontal="left" vertical="center" wrapText="1"/>
    </xf>
    <xf numFmtId="0" fontId="18" fillId="3" borderId="0" xfId="0" applyNumberFormat="1" applyFont="1" applyFill="1" applyAlignment="1">
      <alignment horizontal="left" vertical="center" wrapText="1"/>
    </xf>
    <xf numFmtId="0" fontId="33" fillId="4" borderId="0" xfId="0" applyFont="1" applyFill="1" applyAlignment="1"/>
    <xf numFmtId="0" fontId="54" fillId="9" borderId="36" xfId="0" applyFont="1" applyFill="1" applyBorder="1" applyAlignment="1">
      <alignment horizontal="center" vertical="center" wrapText="1"/>
    </xf>
    <xf numFmtId="0" fontId="54" fillId="9" borderId="45" xfId="0" applyFont="1" applyFill="1" applyBorder="1" applyAlignment="1">
      <alignment horizontal="center" vertical="center" wrapText="1"/>
    </xf>
    <xf numFmtId="0" fontId="33" fillId="4" borderId="22" xfId="0" applyFont="1" applyFill="1" applyBorder="1" applyAlignment="1">
      <alignment horizontal="left" vertical="center" indent="1"/>
    </xf>
    <xf numFmtId="0" fontId="33" fillId="4" borderId="13" xfId="0" applyFont="1" applyFill="1" applyBorder="1" applyAlignment="1">
      <alignment horizontal="left" vertical="center" indent="1"/>
    </xf>
    <xf numFmtId="49" fontId="18" fillId="0" borderId="97" xfId="0" applyNumberFormat="1" applyFont="1" applyBorder="1" applyAlignment="1">
      <alignment horizontal="center" vertical="center"/>
    </xf>
    <xf numFmtId="49" fontId="18" fillId="0" borderId="16" xfId="0" applyNumberFormat="1" applyFont="1" applyBorder="1" applyAlignment="1">
      <alignment horizontal="center" vertical="center"/>
    </xf>
    <xf numFmtId="49" fontId="18" fillId="0" borderId="10" xfId="0" applyNumberFormat="1" applyFont="1" applyBorder="1" applyAlignment="1">
      <alignment horizontal="center" vertical="center"/>
    </xf>
    <xf numFmtId="0" fontId="18" fillId="0" borderId="30" xfId="0" applyFont="1" applyBorder="1" applyAlignment="1">
      <alignment horizontal="left" vertical="top" wrapText="1" indent="1"/>
    </xf>
    <xf numFmtId="0" fontId="18" fillId="0" borderId="23" xfId="0" applyFont="1" applyBorder="1" applyAlignment="1">
      <alignment horizontal="left" vertical="top" wrapText="1" indent="1"/>
    </xf>
    <xf numFmtId="0" fontId="18" fillId="0" borderId="30" xfId="0" applyFont="1" applyBorder="1" applyAlignment="1">
      <alignment horizontal="left" vertical="center" indent="1"/>
    </xf>
    <xf numFmtId="0" fontId="18" fillId="0" borderId="23" xfId="0" applyFont="1" applyBorder="1" applyAlignment="1">
      <alignment horizontal="left" vertical="center" indent="1"/>
    </xf>
    <xf numFmtId="0" fontId="18" fillId="0" borderId="79" xfId="0" applyFont="1" applyBorder="1" applyAlignment="1">
      <alignment horizontal="left" vertical="top" wrapText="1" indent="1"/>
    </xf>
    <xf numFmtId="0" fontId="18" fillId="0" borderId="80" xfId="0" applyFont="1" applyBorder="1" applyAlignment="1">
      <alignment horizontal="left" vertical="top" wrapText="1" indent="1"/>
    </xf>
    <xf numFmtId="0" fontId="3" fillId="4" borderId="0" xfId="0" applyNumberFormat="1" applyFont="1" applyFill="1" applyBorder="1" applyAlignment="1">
      <alignment horizontal="left" vertical="center" wrapText="1"/>
    </xf>
    <xf numFmtId="0" fontId="44" fillId="9" borderId="186" xfId="0" applyFont="1" applyFill="1" applyBorder="1" applyAlignment="1">
      <alignment horizontal="left" vertical="center" indent="1"/>
    </xf>
    <xf numFmtId="0" fontId="44" fillId="9" borderId="187" xfId="0" applyFont="1" applyFill="1" applyBorder="1" applyAlignment="1">
      <alignment horizontal="left" vertical="center" indent="1"/>
    </xf>
    <xf numFmtId="0" fontId="44" fillId="15" borderId="175" xfId="0" applyFont="1" applyFill="1" applyBorder="1" applyAlignment="1">
      <alignment horizontal="center" vertical="center" wrapText="1"/>
    </xf>
    <xf numFmtId="0" fontId="44" fillId="15" borderId="184" xfId="0" applyFont="1" applyFill="1" applyBorder="1" applyAlignment="1">
      <alignment horizontal="center" vertical="center" wrapText="1"/>
    </xf>
    <xf numFmtId="0" fontId="44" fillId="15" borderId="185" xfId="0" applyFont="1" applyFill="1" applyBorder="1" applyAlignment="1">
      <alignment horizontal="center" vertical="center" wrapText="1"/>
    </xf>
    <xf numFmtId="0" fontId="28" fillId="3" borderId="0" xfId="0" applyFont="1" applyFill="1" applyAlignment="1">
      <alignment horizontal="center" vertical="center"/>
    </xf>
    <xf numFmtId="0" fontId="25" fillId="0" borderId="0" xfId="5" applyAlignment="1">
      <alignment horizontal="left" vertical="center"/>
    </xf>
    <xf numFmtId="0" fontId="0" fillId="0" borderId="0" xfId="0" applyAlignment="1">
      <alignment horizontal="left" vertical="center"/>
    </xf>
    <xf numFmtId="0" fontId="4" fillId="4" borderId="0" xfId="0" applyFont="1" applyFill="1" applyAlignment="1">
      <alignment horizontal="right" wrapText="1"/>
    </xf>
    <xf numFmtId="0" fontId="25" fillId="4" borderId="0" xfId="5" applyFill="1" applyAlignment="1" applyProtection="1">
      <alignment horizontal="left"/>
    </xf>
    <xf numFmtId="0" fontId="0" fillId="4" borderId="0" xfId="0" applyFill="1" applyAlignment="1">
      <alignment horizontal="left"/>
    </xf>
    <xf numFmtId="0" fontId="8" fillId="3" borderId="0" xfId="0" applyFont="1" applyFill="1" applyAlignment="1">
      <alignment horizontal="center" vertical="center" wrapText="1"/>
    </xf>
    <xf numFmtId="0" fontId="25" fillId="4" borderId="0" xfId="5" applyFill="1" applyAlignment="1" applyProtection="1">
      <alignment horizontal="left" vertical="top" wrapText="1"/>
    </xf>
    <xf numFmtId="0" fontId="8" fillId="4" borderId="0" xfId="0" applyFont="1" applyFill="1" applyAlignment="1">
      <alignment horizontal="left" vertical="top" wrapText="1"/>
    </xf>
  </cellXfs>
  <cellStyles count="39">
    <cellStyle name="Dziesiętny" xfId="1" builtinId="3"/>
    <cellStyle name="Dziesiętny 2" xfId="2" xr:uid="{00000000-0005-0000-0000-000001000000}"/>
    <cellStyle name="Dziesiętny 2 2" xfId="3" xr:uid="{00000000-0005-0000-0000-000002000000}"/>
    <cellStyle name="Dziesiętny 3" xfId="4" xr:uid="{00000000-0005-0000-0000-000003000000}"/>
    <cellStyle name="Hiperłącze" xfId="5" builtinId="8"/>
    <cellStyle name="Hiperłącze 2" xfId="6" xr:uid="{00000000-0005-0000-0000-000005000000}"/>
    <cellStyle name="Normalny" xfId="0" builtinId="0"/>
    <cellStyle name="Normalny 10" xfId="7" xr:uid="{00000000-0005-0000-0000-000007000000}"/>
    <cellStyle name="Normalny 10 2" xfId="8" xr:uid="{00000000-0005-0000-0000-000008000000}"/>
    <cellStyle name="Normalny 11" xfId="9" xr:uid="{00000000-0005-0000-0000-000009000000}"/>
    <cellStyle name="Normalny 12" xfId="10" xr:uid="{00000000-0005-0000-0000-00000A000000}"/>
    <cellStyle name="Normalny 13" xfId="11" xr:uid="{00000000-0005-0000-0000-00000B000000}"/>
    <cellStyle name="Normalny 2" xfId="12" xr:uid="{00000000-0005-0000-0000-00000C000000}"/>
    <cellStyle name="Normalny 3" xfId="13" xr:uid="{00000000-0005-0000-0000-00000D000000}"/>
    <cellStyle name="Normalny 3 2" xfId="14" xr:uid="{00000000-0005-0000-0000-00000E000000}"/>
    <cellStyle name="Normalny 4" xfId="15" xr:uid="{00000000-0005-0000-0000-00000F000000}"/>
    <cellStyle name="Normalny 4 2" xfId="16" xr:uid="{00000000-0005-0000-0000-000010000000}"/>
    <cellStyle name="Normalny 5" xfId="17" xr:uid="{00000000-0005-0000-0000-000011000000}"/>
    <cellStyle name="Normalny 5 2" xfId="18" xr:uid="{00000000-0005-0000-0000-000012000000}"/>
    <cellStyle name="Normalny 5 2 2" xfId="19" xr:uid="{00000000-0005-0000-0000-000013000000}"/>
    <cellStyle name="Normalny 5 3" xfId="20" xr:uid="{00000000-0005-0000-0000-000014000000}"/>
    <cellStyle name="Normalny 6" xfId="21" xr:uid="{00000000-0005-0000-0000-000015000000}"/>
    <cellStyle name="Normalny 6 2" xfId="22" xr:uid="{00000000-0005-0000-0000-000016000000}"/>
    <cellStyle name="Normalny 7" xfId="23" xr:uid="{00000000-0005-0000-0000-000017000000}"/>
    <cellStyle name="Normalny 7 2" xfId="24" xr:uid="{00000000-0005-0000-0000-000018000000}"/>
    <cellStyle name="Normalny 7 2 2" xfId="25" xr:uid="{00000000-0005-0000-0000-000019000000}"/>
    <cellStyle name="Normalny 7 3" xfId="26" xr:uid="{00000000-0005-0000-0000-00001A000000}"/>
    <cellStyle name="Normalny 8" xfId="27" xr:uid="{00000000-0005-0000-0000-00001B000000}"/>
    <cellStyle name="Normalny 8 2" xfId="28" xr:uid="{00000000-0005-0000-0000-00001C000000}"/>
    <cellStyle name="Normalny 9" xfId="29" xr:uid="{00000000-0005-0000-0000-00001D000000}"/>
    <cellStyle name="Normalny 9 2" xfId="30" xr:uid="{00000000-0005-0000-0000-00001E000000}"/>
    <cellStyle name="Procentowy" xfId="31" builtinId="5"/>
    <cellStyle name="Procentowy 2" xfId="32" xr:uid="{00000000-0005-0000-0000-000020000000}"/>
    <cellStyle name="Procentowy 2 2" xfId="33" xr:uid="{00000000-0005-0000-0000-000021000000}"/>
    <cellStyle name="Procentowy 3" xfId="34" xr:uid="{00000000-0005-0000-0000-000022000000}"/>
    <cellStyle name="Walutowy" xfId="38" builtinId="4"/>
    <cellStyle name="Walutowy 2" xfId="35" xr:uid="{00000000-0005-0000-0000-000024000000}"/>
    <cellStyle name="Walutowy 2 2" xfId="36" xr:uid="{00000000-0005-0000-0000-000025000000}"/>
    <cellStyle name="Walutowy 3" xfId="37" xr:uid="{00000000-0005-0000-0000-000026000000}"/>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FF"/>
      <color rgb="FFFFFF66"/>
      <color rgb="FF635AD8"/>
      <color rgb="FF9A57CD"/>
      <color rgb="FFB00000"/>
      <color rgb="FF3C31CD"/>
      <color rgb="FF2A25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 dropStyle="combo" dx="19" fmlaLink="$A$30" fmlaRange="$Z$7:$Z$8" sel="1"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4.jpeg"/><Relationship Id="rId4" Type="http://schemas.openxmlformats.org/officeDocument/2006/relationships/image" Target="../media/image15.png"/></Relationships>
</file>

<file path=xl/drawings/_rels/drawing2.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8.png"/><Relationship Id="rId7" Type="http://schemas.openxmlformats.org/officeDocument/2006/relationships/image" Target="../media/image10.png"/><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image" Target="../media/image4.png"/><Relationship Id="rId5" Type="http://schemas.openxmlformats.org/officeDocument/2006/relationships/image" Target="../media/image9.png"/><Relationship Id="rId4" Type="http://schemas.openxmlformats.org/officeDocument/2006/relationships/image" Target="../media/image3.png"/><Relationship Id="rId9" Type="http://schemas.openxmlformats.org/officeDocument/2006/relationships/image" Target="../media/image11.png"/></Relationships>
</file>

<file path=xl/drawings/_rels/drawing3.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12.png"/><Relationship Id="rId7" Type="http://schemas.openxmlformats.org/officeDocument/2006/relationships/image" Target="../media/image13.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5.png"/><Relationship Id="rId4" Type="http://schemas.openxmlformats.org/officeDocument/2006/relationships/image" Target="../media/image6.png"/><Relationship Id="rId9" Type="http://schemas.openxmlformats.org/officeDocument/2006/relationships/image" Target="../media/image1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3.png"/><Relationship Id="rId1" Type="http://schemas.openxmlformats.org/officeDocument/2006/relationships/image" Target="../media/image4.png"/><Relationship Id="rId6" Type="http://schemas.openxmlformats.org/officeDocument/2006/relationships/image" Target="../media/image12.png"/><Relationship Id="rId5" Type="http://schemas.openxmlformats.org/officeDocument/2006/relationships/image" Target="../media/image7.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7</xdr:row>
      <xdr:rowOff>9525</xdr:rowOff>
    </xdr:from>
    <xdr:to>
      <xdr:col>4</xdr:col>
      <xdr:colOff>0</xdr:colOff>
      <xdr:row>7</xdr:row>
      <xdr:rowOff>295275</xdr:rowOff>
    </xdr:to>
    <xdr:sp macro="" textlink="">
      <xdr:nvSpPr>
        <xdr:cNvPr id="1039372" name="Drop Down 12" hidden="1">
          <a:extLst>
            <a:ext uri="{63B3BB69-23CF-44E3-9099-C40C66FF867C}">
              <a14:compatExt xmlns:a14="http://schemas.microsoft.com/office/drawing/2010/main" spid="_x0000_s1039372"/>
            </a:ext>
            <a:ext uri="{FF2B5EF4-FFF2-40B4-BE49-F238E27FC236}">
              <a16:creationId xmlns:a16="http://schemas.microsoft.com/office/drawing/2014/main" id="{00000000-0008-0000-0000-00000CDC0F00}"/>
            </a:ext>
          </a:extLst>
        </xdr:cNvPr>
        <xdr:cNvSpPr/>
      </xdr:nvSpPr>
      <xdr:spPr>
        <a:xfrm>
          <a:off x="0" y="0"/>
          <a:ext cx="0" cy="0"/>
        </a:xfrm>
        <a:prstGeom prst="rect">
          <a:avLst/>
        </a:prstGeom>
      </xdr:spPr>
    </xdr:sp>
    <xdr:clientData/>
  </xdr:twoCellAnchor>
  <xdr:twoCellAnchor editAs="oneCell">
    <xdr:from>
      <xdr:col>1</xdr:col>
      <xdr:colOff>0</xdr:colOff>
      <xdr:row>7</xdr:row>
      <xdr:rowOff>66675</xdr:rowOff>
    </xdr:from>
    <xdr:to>
      <xdr:col>1</xdr:col>
      <xdr:colOff>266700</xdr:colOff>
      <xdr:row>7</xdr:row>
      <xdr:rowOff>228600</xdr:rowOff>
    </xdr:to>
    <xdr:pic>
      <xdr:nvPicPr>
        <xdr:cNvPr id="1078209" name="Obraz 7" descr="Znalezione obrazy dla zapytania flaga pl wikipedia">
          <a:extLst>
            <a:ext uri="{FF2B5EF4-FFF2-40B4-BE49-F238E27FC236}">
              <a16:creationId xmlns:a16="http://schemas.microsoft.com/office/drawing/2014/main" id="{00000000-0008-0000-0000-0000C173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1495425"/>
          <a:ext cx="2667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285750</xdr:colOff>
      <xdr:row>7</xdr:row>
      <xdr:rowOff>76200</xdr:rowOff>
    </xdr:from>
    <xdr:to>
      <xdr:col>2</xdr:col>
      <xdr:colOff>0</xdr:colOff>
      <xdr:row>7</xdr:row>
      <xdr:rowOff>238125</xdr:rowOff>
    </xdr:to>
    <xdr:pic>
      <xdr:nvPicPr>
        <xdr:cNvPr id="1078210" name="Obraz 8">
          <a:extLst>
            <a:ext uri="{FF2B5EF4-FFF2-40B4-BE49-F238E27FC236}">
              <a16:creationId xmlns:a16="http://schemas.microsoft.com/office/drawing/2014/main" id="{00000000-0008-0000-0000-0000C2731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7225" y="15049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444212</xdr:colOff>
      <xdr:row>5</xdr:row>
      <xdr:rowOff>58486</xdr:rowOff>
    </xdr:to>
    <xdr:pic>
      <xdr:nvPicPr>
        <xdr:cNvPr id="7" name="Picture 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7</xdr:row>
          <xdr:rowOff>9525</xdr:rowOff>
        </xdr:from>
        <xdr:to>
          <xdr:col>4</xdr:col>
          <xdr:colOff>19050</xdr:colOff>
          <xdr:row>7</xdr:row>
          <xdr:rowOff>295275</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xdr:col>
      <xdr:colOff>142875</xdr:colOff>
      <xdr:row>1</xdr:row>
      <xdr:rowOff>31295</xdr:rowOff>
    </xdr:from>
    <xdr:to>
      <xdr:col>2</xdr:col>
      <xdr:colOff>1133475</xdr:colOff>
      <xdr:row>2</xdr:row>
      <xdr:rowOff>152399</xdr:rowOff>
    </xdr:to>
    <xdr:pic>
      <xdr:nvPicPr>
        <xdr:cNvPr id="6" name="Obraz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04900" y="193220"/>
          <a:ext cx="990600" cy="283029"/>
        </a:xfrm>
        <a:prstGeom prst="rect">
          <a:avLst/>
        </a:prstGeom>
      </xdr:spPr>
    </xdr:pic>
    <xdr:clientData/>
  </xdr:twoCellAnchor>
  <xdr:twoCellAnchor editAs="oneCell">
    <xdr:from>
      <xdr:col>1</xdr:col>
      <xdr:colOff>0</xdr:colOff>
      <xdr:row>5</xdr:row>
      <xdr:rowOff>133350</xdr:rowOff>
    </xdr:from>
    <xdr:to>
      <xdr:col>1</xdr:col>
      <xdr:colOff>552450</xdr:colOff>
      <xdr:row>6</xdr:row>
      <xdr:rowOff>364278</xdr:rowOff>
    </xdr:to>
    <xdr:pic>
      <xdr:nvPicPr>
        <xdr:cNvPr id="9" name="Obraz 15" descr="http://a.wpimg.pl/a/i/stg/550/wpw.png">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71475" y="942975"/>
          <a:ext cx="552450" cy="392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799741</xdr:colOff>
      <xdr:row>5</xdr:row>
      <xdr:rowOff>58486</xdr:rowOff>
    </xdr:to>
    <xdr:pic>
      <xdr:nvPicPr>
        <xdr:cNvPr id="6" name="Picture 2">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1</xdr:col>
      <xdr:colOff>495300</xdr:colOff>
      <xdr:row>1</xdr:row>
      <xdr:rowOff>28575</xdr:rowOff>
    </xdr:from>
    <xdr:to>
      <xdr:col>1</xdr:col>
      <xdr:colOff>1485900</xdr:colOff>
      <xdr:row>2</xdr:row>
      <xdr:rowOff>149679</xdr:rowOff>
    </xdr:to>
    <xdr:pic>
      <xdr:nvPicPr>
        <xdr:cNvPr id="7" name="Obraz 6">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twoCellAnchor editAs="oneCell">
    <xdr:from>
      <xdr:col>1</xdr:col>
      <xdr:colOff>723900</xdr:colOff>
      <xdr:row>1</xdr:row>
      <xdr:rowOff>28575</xdr:rowOff>
    </xdr:from>
    <xdr:to>
      <xdr:col>1</xdr:col>
      <xdr:colOff>1714500</xdr:colOff>
      <xdr:row>2</xdr:row>
      <xdr:rowOff>149679</xdr:rowOff>
    </xdr:to>
    <xdr:pic>
      <xdr:nvPicPr>
        <xdr:cNvPr id="9" name="Obraz 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723900</xdr:colOff>
      <xdr:row>7</xdr:row>
      <xdr:rowOff>28575</xdr:rowOff>
    </xdr:from>
    <xdr:to>
      <xdr:col>2</xdr:col>
      <xdr:colOff>1628775</xdr:colOff>
      <xdr:row>9</xdr:row>
      <xdr:rowOff>561975</xdr:rowOff>
    </xdr:to>
    <xdr:pic>
      <xdr:nvPicPr>
        <xdr:cNvPr id="1085460" name="Obraz 4">
          <a:extLst>
            <a:ext uri="{FF2B5EF4-FFF2-40B4-BE49-F238E27FC236}">
              <a16:creationId xmlns:a16="http://schemas.microsoft.com/office/drawing/2014/main" id="{00000000-0008-0000-0A00-000014901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100" y="1362075"/>
          <a:ext cx="904875" cy="914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495300</xdr:colOff>
      <xdr:row>1</xdr:row>
      <xdr:rowOff>0</xdr:rowOff>
    </xdr:from>
    <xdr:to>
      <xdr:col>2</xdr:col>
      <xdr:colOff>876300</xdr:colOff>
      <xdr:row>2</xdr:row>
      <xdr:rowOff>92529</xdr:rowOff>
    </xdr:to>
    <xdr:pic>
      <xdr:nvPicPr>
        <xdr:cNvPr id="7" name="Obraz 6">
          <a:extLst>
            <a:ext uri="{FF2B5EF4-FFF2-40B4-BE49-F238E27FC236}">
              <a16:creationId xmlns:a16="http://schemas.microsoft.com/office/drawing/2014/main" id="{00000000-0008-0000-0A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twoCellAnchor editAs="oneCell">
    <xdr:from>
      <xdr:col>0</xdr:col>
      <xdr:colOff>0</xdr:colOff>
      <xdr:row>0</xdr:row>
      <xdr:rowOff>0</xdr:rowOff>
    </xdr:from>
    <xdr:to>
      <xdr:col>2</xdr:col>
      <xdr:colOff>190141</xdr:colOff>
      <xdr:row>4</xdr:row>
      <xdr:rowOff>106111</xdr:rowOff>
    </xdr:to>
    <xdr:pic>
      <xdr:nvPicPr>
        <xdr:cNvPr id="8" name="Picture 2">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1</xdr:col>
      <xdr:colOff>352426</xdr:colOff>
      <xdr:row>7</xdr:row>
      <xdr:rowOff>28575</xdr:rowOff>
    </xdr:from>
    <xdr:to>
      <xdr:col>2</xdr:col>
      <xdr:colOff>664470</xdr:colOff>
      <xdr:row>9</xdr:row>
      <xdr:rowOff>569219</xdr:rowOff>
    </xdr:to>
    <xdr:pic>
      <xdr:nvPicPr>
        <xdr:cNvPr id="6" name="Obraz 5">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62026" y="1362075"/>
          <a:ext cx="921644" cy="9216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8659</xdr:colOff>
      <xdr:row>42</xdr:row>
      <xdr:rowOff>142875</xdr:rowOff>
    </xdr:from>
    <xdr:to>
      <xdr:col>2</xdr:col>
      <xdr:colOff>433820</xdr:colOff>
      <xdr:row>45</xdr:row>
      <xdr:rowOff>104775</xdr:rowOff>
    </xdr:to>
    <xdr:pic>
      <xdr:nvPicPr>
        <xdr:cNvPr id="1083540" name="Obraz 14" descr="1.png">
          <a:extLst>
            <a:ext uri="{FF2B5EF4-FFF2-40B4-BE49-F238E27FC236}">
              <a16:creationId xmlns:a16="http://schemas.microsoft.com/office/drawing/2014/main" id="{00000000-0008-0000-0100-000094881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9545" y="10447193"/>
          <a:ext cx="425161" cy="455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65</xdr:row>
      <xdr:rowOff>9525</xdr:rowOff>
    </xdr:from>
    <xdr:to>
      <xdr:col>2</xdr:col>
      <xdr:colOff>885825</xdr:colOff>
      <xdr:row>67</xdr:row>
      <xdr:rowOff>85725</xdr:rowOff>
    </xdr:to>
    <xdr:pic>
      <xdr:nvPicPr>
        <xdr:cNvPr id="1083541" name="Picture 2" descr="image003">
          <a:extLst>
            <a:ext uri="{FF2B5EF4-FFF2-40B4-BE49-F238E27FC236}">
              <a16:creationId xmlns:a16="http://schemas.microsoft.com/office/drawing/2014/main" id="{00000000-0008-0000-0100-000095881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11020425"/>
          <a:ext cx="13430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77</xdr:row>
      <xdr:rowOff>66675</xdr:rowOff>
    </xdr:from>
    <xdr:to>
      <xdr:col>2</xdr:col>
      <xdr:colOff>676275</xdr:colOff>
      <xdr:row>79</xdr:row>
      <xdr:rowOff>66676</xdr:rowOff>
    </xdr:to>
    <xdr:pic>
      <xdr:nvPicPr>
        <xdr:cNvPr id="1083544" name="Obraz 2">
          <a:extLst>
            <a:ext uri="{FF2B5EF4-FFF2-40B4-BE49-F238E27FC236}">
              <a16:creationId xmlns:a16="http://schemas.microsoft.com/office/drawing/2014/main" id="{00000000-0008-0000-0100-000098881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1925" y="14316075"/>
          <a:ext cx="10287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891676</xdr:colOff>
      <xdr:row>5</xdr:row>
      <xdr:rowOff>58486</xdr:rowOff>
    </xdr:to>
    <xdr:pic>
      <xdr:nvPicPr>
        <xdr:cNvPr id="17" name="Picture 2">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0</xdr:col>
      <xdr:colOff>142875</xdr:colOff>
      <xdr:row>118</xdr:row>
      <xdr:rowOff>76201</xdr:rowOff>
    </xdr:from>
    <xdr:to>
      <xdr:col>2</xdr:col>
      <xdr:colOff>990600</xdr:colOff>
      <xdr:row>120</xdr:row>
      <xdr:rowOff>70168</xdr:rowOff>
    </xdr:to>
    <xdr:pic>
      <xdr:nvPicPr>
        <xdr:cNvPr id="3" name="Obraz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42875" y="11249026"/>
          <a:ext cx="1362075" cy="317818"/>
        </a:xfrm>
        <a:prstGeom prst="rect">
          <a:avLst/>
        </a:prstGeom>
      </xdr:spPr>
    </xdr:pic>
    <xdr:clientData/>
  </xdr:twoCellAnchor>
  <xdr:twoCellAnchor editAs="oneCell">
    <xdr:from>
      <xdr:col>2</xdr:col>
      <xdr:colOff>590550</xdr:colOff>
      <xdr:row>1</xdr:row>
      <xdr:rowOff>28575</xdr:rowOff>
    </xdr:from>
    <xdr:to>
      <xdr:col>3</xdr:col>
      <xdr:colOff>342900</xdr:colOff>
      <xdr:row>2</xdr:row>
      <xdr:rowOff>149679</xdr:rowOff>
    </xdr:to>
    <xdr:pic>
      <xdr:nvPicPr>
        <xdr:cNvPr id="11" name="Obraz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twoCellAnchor editAs="oneCell">
    <xdr:from>
      <xdr:col>0</xdr:col>
      <xdr:colOff>147206</xdr:colOff>
      <xdr:row>94</xdr:row>
      <xdr:rowOff>60615</xdr:rowOff>
    </xdr:from>
    <xdr:to>
      <xdr:col>3</xdr:col>
      <xdr:colOff>0</xdr:colOff>
      <xdr:row>96</xdr:row>
      <xdr:rowOff>51956</xdr:rowOff>
    </xdr:to>
    <xdr:pic>
      <xdr:nvPicPr>
        <xdr:cNvPr id="2" name="Obraz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47206" y="22175933"/>
          <a:ext cx="1601930" cy="320386"/>
        </a:xfrm>
        <a:prstGeom prst="rect">
          <a:avLst/>
        </a:prstGeom>
      </xdr:spPr>
    </xdr:pic>
    <xdr:clientData/>
  </xdr:twoCellAnchor>
  <xdr:twoCellAnchor editAs="oneCell">
    <xdr:from>
      <xdr:col>2</xdr:col>
      <xdr:colOff>0</xdr:colOff>
      <xdr:row>5</xdr:row>
      <xdr:rowOff>133350</xdr:rowOff>
    </xdr:from>
    <xdr:to>
      <xdr:col>2</xdr:col>
      <xdr:colOff>552450</xdr:colOff>
      <xdr:row>8</xdr:row>
      <xdr:rowOff>40428</xdr:rowOff>
    </xdr:to>
    <xdr:pic>
      <xdr:nvPicPr>
        <xdr:cNvPr id="14" name="Obraz 15" descr="http://a.wpimg.pl/a/i/stg/550/wpw.png">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14350" y="942975"/>
          <a:ext cx="552450" cy="392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125</xdr:row>
      <xdr:rowOff>142875</xdr:rowOff>
    </xdr:from>
    <xdr:to>
      <xdr:col>2</xdr:col>
      <xdr:colOff>228600</xdr:colOff>
      <xdr:row>128</xdr:row>
      <xdr:rowOff>40428</xdr:rowOff>
    </xdr:to>
    <xdr:pic>
      <xdr:nvPicPr>
        <xdr:cNvPr id="16" name="Obraz 15" descr="http://a.wpimg.pl/a/i/stg/550/wpw.png">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90500" y="28870275"/>
          <a:ext cx="552450" cy="392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133</xdr:row>
      <xdr:rowOff>133350</xdr:rowOff>
    </xdr:from>
    <xdr:to>
      <xdr:col>2</xdr:col>
      <xdr:colOff>228600</xdr:colOff>
      <xdr:row>135</xdr:row>
      <xdr:rowOff>40427</xdr:rowOff>
    </xdr:to>
    <xdr:pic>
      <xdr:nvPicPr>
        <xdr:cNvPr id="18" name="Obraz 15" descr="http://a.wpimg.pl/a/i/stg/550/wpw.png">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90500" y="30994350"/>
          <a:ext cx="552450" cy="392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104776</xdr:colOff>
      <xdr:row>104</xdr:row>
      <xdr:rowOff>13905</xdr:rowOff>
    </xdr:from>
    <xdr:to>
      <xdr:col>3</xdr:col>
      <xdr:colOff>323850</xdr:colOff>
      <xdr:row>106</xdr:row>
      <xdr:rowOff>84390</xdr:rowOff>
    </xdr:to>
    <xdr:pic>
      <xdr:nvPicPr>
        <xdr:cNvPr id="4" name="Obraz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04776" y="26255280"/>
          <a:ext cx="1971674" cy="3943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1025026</xdr:colOff>
      <xdr:row>5</xdr:row>
      <xdr:rowOff>58486</xdr:rowOff>
    </xdr:to>
    <xdr:pic>
      <xdr:nvPicPr>
        <xdr:cNvPr id="2" name="Picture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602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2</xdr:col>
      <xdr:colOff>723900</xdr:colOff>
      <xdr:row>1</xdr:row>
      <xdr:rowOff>28575</xdr:rowOff>
    </xdr:from>
    <xdr:to>
      <xdr:col>2</xdr:col>
      <xdr:colOff>1714500</xdr:colOff>
      <xdr:row>2</xdr:row>
      <xdr:rowOff>149679</xdr:rowOff>
    </xdr:to>
    <xdr:pic>
      <xdr:nvPicPr>
        <xdr:cNvPr id="3" name="Obraz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twoCellAnchor editAs="oneCell">
    <xdr:from>
      <xdr:col>2</xdr:col>
      <xdr:colOff>0</xdr:colOff>
      <xdr:row>31</xdr:row>
      <xdr:rowOff>54430</xdr:rowOff>
    </xdr:from>
    <xdr:to>
      <xdr:col>2</xdr:col>
      <xdr:colOff>1619250</xdr:colOff>
      <xdr:row>32</xdr:row>
      <xdr:rowOff>48490</xdr:rowOff>
    </xdr:to>
    <xdr:pic>
      <xdr:nvPicPr>
        <xdr:cNvPr id="8" name="Obraz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1000" y="7826830"/>
          <a:ext cx="1619250" cy="317910"/>
        </a:xfrm>
        <a:prstGeom prst="rect">
          <a:avLst/>
        </a:prstGeom>
      </xdr:spPr>
    </xdr:pic>
    <xdr:clientData/>
  </xdr:twoCellAnchor>
  <xdr:twoCellAnchor editAs="oneCell">
    <xdr:from>
      <xdr:col>2</xdr:col>
      <xdr:colOff>28575</xdr:colOff>
      <xdr:row>50</xdr:row>
      <xdr:rowOff>304800</xdr:rowOff>
    </xdr:from>
    <xdr:to>
      <xdr:col>2</xdr:col>
      <xdr:colOff>453736</xdr:colOff>
      <xdr:row>52</xdr:row>
      <xdr:rowOff>104775</xdr:rowOff>
    </xdr:to>
    <xdr:pic>
      <xdr:nvPicPr>
        <xdr:cNvPr id="11" name="Obraz 14" descr="1.png">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09575" y="13258800"/>
          <a:ext cx="425161"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133350</xdr:rowOff>
    </xdr:from>
    <xdr:to>
      <xdr:col>2</xdr:col>
      <xdr:colOff>552450</xdr:colOff>
      <xdr:row>8</xdr:row>
      <xdr:rowOff>40428</xdr:rowOff>
    </xdr:to>
    <xdr:pic>
      <xdr:nvPicPr>
        <xdr:cNvPr id="12" name="Obraz 15" descr="http://a.wpimg.pl/a/i/stg/550/wpw.png">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81000" y="942975"/>
          <a:ext cx="552450" cy="392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19050</xdr:colOff>
      <xdr:row>57</xdr:row>
      <xdr:rowOff>66675</xdr:rowOff>
    </xdr:from>
    <xdr:to>
      <xdr:col>2</xdr:col>
      <xdr:colOff>1047750</xdr:colOff>
      <xdr:row>58</xdr:row>
      <xdr:rowOff>66676</xdr:rowOff>
    </xdr:to>
    <xdr:pic>
      <xdr:nvPicPr>
        <xdr:cNvPr id="13" name="Obraz 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14963775"/>
          <a:ext cx="102870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180975</xdr:colOff>
      <xdr:row>38</xdr:row>
      <xdr:rowOff>266700</xdr:rowOff>
    </xdr:from>
    <xdr:to>
      <xdr:col>2</xdr:col>
      <xdr:colOff>1543050</xdr:colOff>
      <xdr:row>41</xdr:row>
      <xdr:rowOff>38100</xdr:rowOff>
    </xdr:to>
    <xdr:pic>
      <xdr:nvPicPr>
        <xdr:cNvPr id="14" name="Obraz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80975" y="9982200"/>
          <a:ext cx="1743075" cy="581025"/>
        </a:xfrm>
        <a:prstGeom prst="rect">
          <a:avLst/>
        </a:prstGeom>
      </xdr:spPr>
    </xdr:pic>
    <xdr:clientData/>
  </xdr:twoCellAnchor>
  <xdr:twoCellAnchor>
    <xdr:from>
      <xdr:col>1</xdr:col>
      <xdr:colOff>161925</xdr:colOff>
      <xdr:row>45</xdr:row>
      <xdr:rowOff>9525</xdr:rowOff>
    </xdr:from>
    <xdr:to>
      <xdr:col>2</xdr:col>
      <xdr:colOff>1362075</xdr:colOff>
      <xdr:row>46</xdr:row>
      <xdr:rowOff>85725</xdr:rowOff>
    </xdr:to>
    <xdr:pic>
      <xdr:nvPicPr>
        <xdr:cNvPr id="16" name="Picture 2" descr="image003">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52425" y="11668125"/>
          <a:ext cx="13906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142875</xdr:colOff>
      <xdr:row>23</xdr:row>
      <xdr:rowOff>9525</xdr:rowOff>
    </xdr:from>
    <xdr:to>
      <xdr:col>3</xdr:col>
      <xdr:colOff>19049</xdr:colOff>
      <xdr:row>24</xdr:row>
      <xdr:rowOff>80010</xdr:rowOff>
    </xdr:to>
    <xdr:pic>
      <xdr:nvPicPr>
        <xdr:cNvPr id="15" name="Obraz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33375" y="5514975"/>
          <a:ext cx="1971674" cy="3943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723900</xdr:colOff>
      <xdr:row>1</xdr:row>
      <xdr:rowOff>28575</xdr:rowOff>
    </xdr:from>
    <xdr:to>
      <xdr:col>2</xdr:col>
      <xdr:colOff>1714500</xdr:colOff>
      <xdr:row>2</xdr:row>
      <xdr:rowOff>149679</xdr:rowOff>
    </xdr:to>
    <xdr:pic>
      <xdr:nvPicPr>
        <xdr:cNvPr id="2" name="Obraz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twoCellAnchor editAs="oneCell">
    <xdr:from>
      <xdr:col>0</xdr:col>
      <xdr:colOff>0</xdr:colOff>
      <xdr:row>0</xdr:row>
      <xdr:rowOff>0</xdr:rowOff>
    </xdr:from>
    <xdr:to>
      <xdr:col>2</xdr:col>
      <xdr:colOff>1025026</xdr:colOff>
      <xdr:row>5</xdr:row>
      <xdr:rowOff>58486</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0"/>
          <a:ext cx="140602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2</xdr:col>
      <xdr:colOff>0</xdr:colOff>
      <xdr:row>5</xdr:row>
      <xdr:rowOff>133350</xdr:rowOff>
    </xdr:from>
    <xdr:to>
      <xdr:col>2</xdr:col>
      <xdr:colOff>552450</xdr:colOff>
      <xdr:row>8</xdr:row>
      <xdr:rowOff>40428</xdr:rowOff>
    </xdr:to>
    <xdr:pic>
      <xdr:nvPicPr>
        <xdr:cNvPr id="8" name="Obraz 15" descr="http://a.wpimg.pl/a/i/stg/550/wpw.png">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1000" y="942975"/>
          <a:ext cx="552450" cy="392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xdr:colOff>
      <xdr:row>32</xdr:row>
      <xdr:rowOff>304800</xdr:rowOff>
    </xdr:from>
    <xdr:to>
      <xdr:col>2</xdr:col>
      <xdr:colOff>453736</xdr:colOff>
      <xdr:row>34</xdr:row>
      <xdr:rowOff>104775</xdr:rowOff>
    </xdr:to>
    <xdr:pic>
      <xdr:nvPicPr>
        <xdr:cNvPr id="12" name="Obraz 14" descr="1.png">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09575" y="8077200"/>
          <a:ext cx="425161"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161925</xdr:colOff>
      <xdr:row>24</xdr:row>
      <xdr:rowOff>9525</xdr:rowOff>
    </xdr:from>
    <xdr:to>
      <xdr:col>2</xdr:col>
      <xdr:colOff>1362075</xdr:colOff>
      <xdr:row>25</xdr:row>
      <xdr:rowOff>85725</xdr:rowOff>
    </xdr:to>
    <xdr:pic>
      <xdr:nvPicPr>
        <xdr:cNvPr id="10" name="Picture 2" descr="image003">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52425" y="5838825"/>
          <a:ext cx="13906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42</xdr:row>
      <xdr:rowOff>57150</xdr:rowOff>
    </xdr:from>
    <xdr:to>
      <xdr:col>2</xdr:col>
      <xdr:colOff>1619250</xdr:colOff>
      <xdr:row>43</xdr:row>
      <xdr:rowOff>51210</xdr:rowOff>
    </xdr:to>
    <xdr:pic>
      <xdr:nvPicPr>
        <xdr:cNvPr id="7" name="Obraz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81000" y="10420350"/>
          <a:ext cx="1619250" cy="31791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1028341</xdr:colOff>
      <xdr:row>5</xdr:row>
      <xdr:rowOff>58486</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2</xdr:col>
      <xdr:colOff>723900</xdr:colOff>
      <xdr:row>1</xdr:row>
      <xdr:rowOff>28575</xdr:rowOff>
    </xdr:from>
    <xdr:to>
      <xdr:col>3</xdr:col>
      <xdr:colOff>190500</xdr:colOff>
      <xdr:row>2</xdr:row>
      <xdr:rowOff>149679</xdr:rowOff>
    </xdr:to>
    <xdr:pic>
      <xdr:nvPicPr>
        <xdr:cNvPr id="3" name="Obraz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1028341</xdr:colOff>
      <xdr:row>5</xdr:row>
      <xdr:rowOff>58486</xdr:rowOff>
    </xdr:to>
    <xdr:pic>
      <xdr:nvPicPr>
        <xdr:cNvPr id="6" name="Picture 2">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2</xdr:col>
      <xdr:colOff>723900</xdr:colOff>
      <xdr:row>1</xdr:row>
      <xdr:rowOff>28575</xdr:rowOff>
    </xdr:from>
    <xdr:to>
      <xdr:col>3</xdr:col>
      <xdr:colOff>190500</xdr:colOff>
      <xdr:row>2</xdr:row>
      <xdr:rowOff>149679</xdr:rowOff>
    </xdr:to>
    <xdr:pic>
      <xdr:nvPicPr>
        <xdr:cNvPr id="3" name="Obraz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1028341</xdr:colOff>
      <xdr:row>5</xdr:row>
      <xdr:rowOff>58486</xdr:rowOff>
    </xdr:to>
    <xdr:pic>
      <xdr:nvPicPr>
        <xdr:cNvPr id="4" name="Picture 2">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1</xdr:col>
      <xdr:colOff>723900</xdr:colOff>
      <xdr:row>1</xdr:row>
      <xdr:rowOff>28575</xdr:rowOff>
    </xdr:from>
    <xdr:to>
      <xdr:col>1</xdr:col>
      <xdr:colOff>1714500</xdr:colOff>
      <xdr:row>2</xdr:row>
      <xdr:rowOff>149679</xdr:rowOff>
    </xdr:to>
    <xdr:pic>
      <xdr:nvPicPr>
        <xdr:cNvPr id="3" name="Obraz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1028341</xdr:colOff>
      <xdr:row>5</xdr:row>
      <xdr:rowOff>58486</xdr:rowOff>
    </xdr:to>
    <xdr:pic>
      <xdr:nvPicPr>
        <xdr:cNvPr id="5" name="Picture 2">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2</xdr:col>
      <xdr:colOff>723900</xdr:colOff>
      <xdr:row>1</xdr:row>
      <xdr:rowOff>28575</xdr:rowOff>
    </xdr:from>
    <xdr:to>
      <xdr:col>3</xdr:col>
      <xdr:colOff>228600</xdr:colOff>
      <xdr:row>2</xdr:row>
      <xdr:rowOff>149679</xdr:rowOff>
    </xdr:to>
    <xdr:pic>
      <xdr:nvPicPr>
        <xdr:cNvPr id="3" name="Obraz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0" y="190500"/>
          <a:ext cx="990600" cy="28302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723900</xdr:colOff>
      <xdr:row>1</xdr:row>
      <xdr:rowOff>28575</xdr:rowOff>
    </xdr:from>
    <xdr:to>
      <xdr:col>2</xdr:col>
      <xdr:colOff>352425</xdr:colOff>
      <xdr:row>2</xdr:row>
      <xdr:rowOff>149679</xdr:rowOff>
    </xdr:to>
    <xdr:pic>
      <xdr:nvPicPr>
        <xdr:cNvPr id="4" name="Obraz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5375" y="190500"/>
          <a:ext cx="990600" cy="283029"/>
        </a:xfrm>
        <a:prstGeom prst="rect">
          <a:avLst/>
        </a:prstGeom>
      </xdr:spPr>
    </xdr:pic>
    <xdr:clientData/>
  </xdr:twoCellAnchor>
  <xdr:twoCellAnchor editAs="oneCell">
    <xdr:from>
      <xdr:col>0</xdr:col>
      <xdr:colOff>0</xdr:colOff>
      <xdr:row>0</xdr:row>
      <xdr:rowOff>0</xdr:rowOff>
    </xdr:from>
    <xdr:to>
      <xdr:col>1</xdr:col>
      <xdr:colOff>1028341</xdr:colOff>
      <xdr:row>5</xdr:row>
      <xdr:rowOff>58486</xdr:rowOff>
    </xdr:to>
    <xdr:pic>
      <xdr:nvPicPr>
        <xdr:cNvPr id="5" name="Picture 2">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theme/theme1.xml><?xml version="1.0" encoding="utf-8"?>
<a:theme xmlns:a="http://schemas.openxmlformats.org/drawingml/2006/main" name="Motyw pakietu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hyperlink" Target="https://reklama.wp.pl/strefa-klienta" TargetMode="External"/><Relationship Id="rId1" Type="http://schemas.openxmlformats.org/officeDocument/2006/relationships/hyperlink" Target="https://reklama.wp.pl/strefa-klient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Z32"/>
  <sheetViews>
    <sheetView zoomScaleNormal="100" workbookViewId="0">
      <pane ySplit="8" topLeftCell="A9" activePane="bottomLeft" state="frozen"/>
      <selection pane="bottomLeft"/>
    </sheetView>
  </sheetViews>
  <sheetFormatPr defaultColWidth="11.42578125" defaultRowHeight="12.75"/>
  <cols>
    <col min="1" max="1" width="5.5703125" style="113" customWidth="1"/>
    <col min="2" max="2" width="8.85546875" style="113" customWidth="1"/>
    <col min="3" max="4" width="30.85546875" style="113" customWidth="1"/>
    <col min="5" max="8" width="20" style="113" customWidth="1"/>
    <col min="9" max="9" width="17.85546875" style="113" customWidth="1"/>
    <col min="10" max="10" width="8.85546875" style="113" customWidth="1"/>
    <col min="11" max="11" width="38.42578125" style="113" customWidth="1"/>
    <col min="12" max="13" width="9.140625" style="113" customWidth="1"/>
    <col min="14" max="15" width="11.42578125" style="113" customWidth="1"/>
    <col min="16" max="16" width="9.140625" style="113" customWidth="1"/>
    <col min="17" max="16384" width="11.42578125" style="113"/>
  </cols>
  <sheetData>
    <row r="1" spans="1:26" ht="12.75" customHeight="1">
      <c r="A1" s="218"/>
      <c r="B1" s="218"/>
      <c r="C1" s="218"/>
      <c r="D1" s="218"/>
      <c r="E1" s="881" t="str">
        <f>IF($B$30="Polski",CONCATENATE("Cennik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F1" s="881"/>
      <c r="G1" s="881"/>
      <c r="H1" s="881"/>
      <c r="I1" s="16"/>
      <c r="J1" s="218"/>
      <c r="K1" s="881"/>
      <c r="L1" s="881"/>
      <c r="M1" s="881"/>
      <c r="N1" s="881"/>
      <c r="O1" s="881"/>
      <c r="P1" s="881"/>
      <c r="Q1" s="218"/>
      <c r="R1" s="218"/>
      <c r="S1" s="218"/>
      <c r="T1" s="218"/>
      <c r="U1" s="218"/>
      <c r="V1" s="218"/>
      <c r="W1" s="218"/>
      <c r="X1" s="218"/>
      <c r="Y1" s="218"/>
      <c r="Z1" s="218"/>
    </row>
    <row r="2" spans="1:26" ht="12.75" customHeight="1">
      <c r="A2" s="218"/>
      <c r="B2" s="218"/>
      <c r="C2" s="152"/>
      <c r="D2" s="16"/>
      <c r="E2" s="881"/>
      <c r="F2" s="881"/>
      <c r="G2" s="881"/>
      <c r="H2" s="881"/>
      <c r="I2" s="16"/>
      <c r="J2" s="220"/>
      <c r="K2" s="881"/>
      <c r="L2" s="881"/>
      <c r="M2" s="881"/>
      <c r="N2" s="881"/>
      <c r="O2" s="881"/>
      <c r="P2" s="881"/>
      <c r="Q2" s="218"/>
      <c r="R2" s="218"/>
      <c r="S2" s="218"/>
      <c r="T2" s="218"/>
      <c r="U2" s="218"/>
      <c r="V2" s="218"/>
      <c r="W2" s="218"/>
      <c r="X2" s="218"/>
      <c r="Y2" s="218"/>
      <c r="Z2" s="218"/>
    </row>
    <row r="3" spans="1:26">
      <c r="A3" s="218"/>
      <c r="B3" s="218"/>
      <c r="C3" s="218"/>
      <c r="D3" s="16"/>
      <c r="E3" s="881"/>
      <c r="F3" s="881"/>
      <c r="G3" s="881"/>
      <c r="H3" s="881"/>
      <c r="I3" s="16"/>
      <c r="J3" s="220"/>
      <c r="K3" s="881"/>
      <c r="L3" s="881"/>
      <c r="M3" s="881"/>
      <c r="N3" s="881"/>
      <c r="O3" s="881"/>
      <c r="P3" s="881"/>
      <c r="Q3" s="218"/>
      <c r="R3" s="218"/>
      <c r="S3" s="218"/>
      <c r="T3" s="218"/>
      <c r="U3" s="218"/>
      <c r="V3" s="218"/>
      <c r="W3" s="218"/>
      <c r="X3" s="218"/>
      <c r="Y3" s="218"/>
      <c r="Z3" s="218"/>
    </row>
    <row r="4" spans="1:26" s="32" customFormat="1" ht="12.75" customHeight="1">
      <c r="A4" s="221"/>
      <c r="B4" s="33" t="s">
        <v>0</v>
      </c>
      <c r="C4" s="221"/>
      <c r="D4" s="221"/>
      <c r="E4" s="221"/>
      <c r="F4" s="221"/>
      <c r="G4" s="221"/>
      <c r="H4" s="347" t="str">
        <f>IF('Język - Language'!$B$30="Polski","PL","EN")</f>
        <v>PL</v>
      </c>
      <c r="I4" s="221"/>
      <c r="J4" s="221"/>
      <c r="K4" s="221"/>
      <c r="L4" s="221"/>
      <c r="M4" s="221"/>
      <c r="N4" s="221"/>
      <c r="O4" s="221"/>
      <c r="P4" s="221"/>
      <c r="Q4" s="221"/>
      <c r="R4" s="221"/>
      <c r="S4" s="221"/>
      <c r="T4" s="221"/>
      <c r="U4" s="221"/>
      <c r="V4" s="221"/>
      <c r="W4" s="221"/>
      <c r="X4" s="221"/>
      <c r="Y4" s="221"/>
      <c r="Z4" s="221"/>
    </row>
    <row r="5" spans="1:26" s="99" customFormat="1" ht="12.75" customHeight="1">
      <c r="A5" s="216"/>
      <c r="B5" s="15"/>
      <c r="C5" s="216"/>
      <c r="D5" s="216"/>
      <c r="E5" s="216"/>
      <c r="F5" s="216"/>
      <c r="G5" s="216"/>
      <c r="H5" s="216"/>
      <c r="I5" s="216"/>
      <c r="J5" s="216"/>
      <c r="K5" s="216"/>
      <c r="L5" s="216"/>
      <c r="M5" s="216"/>
      <c r="N5" s="216"/>
      <c r="O5" s="216"/>
      <c r="P5" s="216"/>
      <c r="Q5" s="216"/>
      <c r="R5" s="216"/>
      <c r="S5" s="216"/>
      <c r="T5" s="216"/>
      <c r="U5" s="216"/>
      <c r="V5" s="216"/>
      <c r="W5" s="216"/>
      <c r="X5" s="216"/>
      <c r="Y5" s="216"/>
      <c r="Z5" s="216"/>
    </row>
    <row r="6" spans="1:26">
      <c r="A6" s="218"/>
      <c r="B6" s="216"/>
      <c r="C6" s="216"/>
      <c r="D6" s="216"/>
      <c r="E6" s="218"/>
      <c r="F6" s="218"/>
      <c r="G6" s="218"/>
      <c r="H6" s="218"/>
      <c r="I6" s="218"/>
      <c r="J6" s="216"/>
      <c r="K6" s="216"/>
      <c r="L6" s="216"/>
      <c r="M6" s="216"/>
      <c r="N6" s="216"/>
      <c r="O6" s="216"/>
      <c r="P6" s="216"/>
      <c r="Q6" s="218"/>
      <c r="R6" s="218"/>
      <c r="S6" s="218"/>
      <c r="T6" s="218"/>
      <c r="U6" s="218"/>
      <c r="V6" s="218"/>
      <c r="W6" s="218"/>
      <c r="X6" s="218"/>
      <c r="Y6" s="218"/>
      <c r="Z6" s="218"/>
    </row>
    <row r="7" spans="1:26" ht="36.200000000000003" customHeight="1">
      <c r="A7" s="216"/>
      <c r="B7" s="59"/>
      <c r="C7" s="109" t="s">
        <v>1</v>
      </c>
      <c r="D7" s="108" t="s">
        <v>2</v>
      </c>
      <c r="E7" s="86"/>
      <c r="F7" s="882"/>
      <c r="G7" s="882"/>
      <c r="H7" s="882"/>
      <c r="I7" s="882"/>
      <c r="J7" s="218"/>
      <c r="K7" s="884"/>
      <c r="L7" s="884"/>
      <c r="M7" s="884"/>
      <c r="N7" s="884"/>
      <c r="O7" s="884"/>
      <c r="P7" s="884"/>
      <c r="Q7" s="218"/>
      <c r="R7" s="218"/>
      <c r="S7" s="218"/>
      <c r="T7" s="218"/>
      <c r="U7" s="218"/>
      <c r="V7" s="218"/>
      <c r="W7" s="218"/>
      <c r="X7" s="218"/>
      <c r="Y7" s="218"/>
      <c r="Z7" s="124" t="s">
        <v>3</v>
      </c>
    </row>
    <row r="8" spans="1:26" ht="25.5" customHeight="1">
      <c r="A8" s="218"/>
      <c r="B8" s="110"/>
      <c r="C8" s="886" t="str">
        <f>INDEX(Z7:Z8,A30)</f>
        <v>Polski</v>
      </c>
      <c r="D8" s="886"/>
      <c r="E8" s="260"/>
      <c r="F8" s="883"/>
      <c r="G8" s="883"/>
      <c r="H8" s="883"/>
      <c r="I8" s="883"/>
      <c r="J8" s="216"/>
      <c r="K8" s="236"/>
      <c r="L8" s="887"/>
      <c r="M8" s="887"/>
      <c r="N8" s="887"/>
      <c r="O8" s="887"/>
      <c r="P8" s="887"/>
      <c r="Q8" s="218"/>
      <c r="R8" s="218"/>
      <c r="S8" s="218"/>
      <c r="T8" s="218"/>
      <c r="U8" s="218"/>
      <c r="V8" s="218"/>
      <c r="W8" s="218"/>
      <c r="X8" s="218"/>
      <c r="Y8" s="218"/>
      <c r="Z8" s="124" t="s">
        <v>4</v>
      </c>
    </row>
    <row r="9" spans="1:26" ht="25.35" customHeight="1">
      <c r="A9" s="218"/>
      <c r="B9" s="110"/>
      <c r="C9" s="888"/>
      <c r="D9" s="885"/>
      <c r="E9" s="235"/>
      <c r="F9" s="54"/>
      <c r="G9" s="55"/>
      <c r="H9" s="56"/>
      <c r="I9" s="56"/>
      <c r="J9" s="216"/>
      <c r="K9" s="76"/>
      <c r="L9" s="889"/>
      <c r="M9" s="889"/>
      <c r="N9" s="889"/>
      <c r="O9" s="889"/>
      <c r="P9" s="889"/>
      <c r="Q9" s="218"/>
      <c r="R9" s="218"/>
      <c r="S9" s="218"/>
      <c r="T9" s="218"/>
      <c r="U9" s="218"/>
      <c r="V9" s="218"/>
      <c r="W9" s="218"/>
      <c r="X9" s="218"/>
      <c r="Y9" s="218"/>
      <c r="Z9" s="218"/>
    </row>
    <row r="10" spans="1:26" ht="12.75" customHeight="1">
      <c r="A10" s="218"/>
      <c r="B10" s="110"/>
      <c r="C10" s="237"/>
      <c r="D10" s="235"/>
      <c r="E10" s="235"/>
      <c r="F10" s="54"/>
      <c r="G10" s="55"/>
      <c r="H10" s="56"/>
      <c r="I10" s="56"/>
      <c r="J10" s="216"/>
      <c r="K10" s="76"/>
      <c r="L10" s="238"/>
      <c r="M10" s="238"/>
      <c r="N10" s="238"/>
      <c r="O10" s="238"/>
      <c r="P10" s="238"/>
      <c r="Q10" s="218"/>
      <c r="R10" s="218"/>
      <c r="S10" s="218"/>
      <c r="T10" s="218"/>
      <c r="U10" s="218"/>
      <c r="V10" s="218"/>
      <c r="W10" s="218"/>
      <c r="X10" s="218"/>
      <c r="Y10" s="218"/>
      <c r="Z10" s="218"/>
    </row>
    <row r="11" spans="1:26">
      <c r="A11" s="218"/>
      <c r="B11" s="890"/>
      <c r="C11" s="891"/>
      <c r="D11" s="891"/>
      <c r="E11" s="891"/>
      <c r="F11" s="891"/>
      <c r="G11" s="891"/>
      <c r="H11" s="891"/>
      <c r="I11" s="56"/>
      <c r="J11" s="216"/>
      <c r="K11" s="76"/>
      <c r="L11" s="889"/>
      <c r="M11" s="889"/>
      <c r="N11" s="889"/>
      <c r="O11" s="889"/>
      <c r="P11" s="889"/>
      <c r="Q11" s="218"/>
      <c r="R11" s="218"/>
      <c r="S11" s="218"/>
      <c r="T11" s="218"/>
      <c r="U11" s="218"/>
      <c r="V11" s="218"/>
      <c r="W11" s="218"/>
      <c r="X11" s="218"/>
      <c r="Y11" s="218"/>
      <c r="Z11" s="218"/>
    </row>
    <row r="12" spans="1:26" ht="12.75" customHeight="1">
      <c r="A12" s="218"/>
      <c r="B12" s="891"/>
      <c r="C12" s="891"/>
      <c r="D12" s="891"/>
      <c r="E12" s="891"/>
      <c r="F12" s="891"/>
      <c r="G12" s="891"/>
      <c r="H12" s="891"/>
      <c r="I12" s="56"/>
      <c r="J12" s="216"/>
      <c r="K12" s="77"/>
      <c r="L12" s="892"/>
      <c r="M12" s="892"/>
      <c r="N12" s="892"/>
      <c r="O12" s="892"/>
      <c r="P12" s="892"/>
      <c r="Q12" s="218"/>
      <c r="R12" s="218"/>
      <c r="S12" s="218"/>
      <c r="T12" s="218"/>
      <c r="U12" s="218"/>
      <c r="V12" s="218"/>
      <c r="W12" s="218"/>
      <c r="X12" s="218"/>
      <c r="Y12" s="218"/>
      <c r="Z12" s="218"/>
    </row>
    <row r="13" spans="1:26" ht="12.75" customHeight="1">
      <c r="A13" s="218"/>
      <c r="B13" s="239"/>
      <c r="C13" s="239"/>
      <c r="D13" s="239"/>
      <c r="E13" s="239"/>
      <c r="F13" s="239"/>
      <c r="G13" s="239"/>
      <c r="H13" s="239"/>
      <c r="I13" s="56"/>
      <c r="J13" s="216"/>
      <c r="K13" s="77"/>
      <c r="L13" s="240"/>
      <c r="M13" s="240"/>
      <c r="N13" s="240"/>
      <c r="O13" s="240"/>
      <c r="P13" s="240"/>
      <c r="Q13" s="218"/>
      <c r="R13" s="218"/>
      <c r="S13" s="218"/>
      <c r="T13" s="218"/>
      <c r="U13" s="218"/>
      <c r="V13" s="218"/>
      <c r="W13" s="218"/>
      <c r="X13" s="218"/>
      <c r="Y13" s="218"/>
      <c r="Z13" s="218"/>
    </row>
    <row r="14" spans="1:26" ht="12.75" customHeight="1">
      <c r="A14" s="216"/>
      <c r="B14" s="153"/>
      <c r="C14" s="153"/>
      <c r="D14" s="153"/>
      <c r="E14" s="75"/>
      <c r="F14" s="39"/>
      <c r="G14" s="40"/>
      <c r="H14" s="41"/>
      <c r="I14" s="41"/>
      <c r="J14" s="216"/>
      <c r="K14" s="77"/>
      <c r="L14" s="240"/>
      <c r="M14" s="240"/>
      <c r="N14" s="240"/>
      <c r="O14" s="240"/>
      <c r="P14" s="240"/>
      <c r="Q14" s="218"/>
      <c r="R14" s="218"/>
      <c r="S14" s="218"/>
      <c r="T14" s="218"/>
      <c r="U14" s="218"/>
      <c r="V14" s="218"/>
      <c r="W14" s="218"/>
      <c r="X14" s="218"/>
      <c r="Y14" s="218"/>
      <c r="Z14" s="218"/>
    </row>
    <row r="15" spans="1:26">
      <c r="A15" s="216"/>
      <c r="B15" s="234"/>
      <c r="C15" s="234"/>
      <c r="D15" s="262"/>
      <c r="E15" s="234"/>
      <c r="F15" s="893"/>
      <c r="G15" s="234"/>
      <c r="H15" s="234"/>
      <c r="I15" s="38"/>
      <c r="J15" s="216"/>
      <c r="K15" s="76"/>
      <c r="L15" s="892"/>
      <c r="M15" s="892"/>
      <c r="N15" s="892"/>
      <c r="O15" s="892"/>
      <c r="P15" s="892"/>
      <c r="Q15" s="218"/>
      <c r="R15" s="218"/>
      <c r="S15" s="218"/>
      <c r="T15" s="218"/>
      <c r="U15" s="218"/>
      <c r="V15" s="218"/>
      <c r="W15" s="218"/>
      <c r="X15" s="218"/>
      <c r="Y15" s="218"/>
      <c r="Z15" s="218"/>
    </row>
    <row r="16" spans="1:26" ht="15">
      <c r="A16" s="216"/>
      <c r="B16" s="110"/>
      <c r="C16" s="114"/>
      <c r="D16" s="115"/>
      <c r="E16" s="116"/>
      <c r="F16" s="893"/>
      <c r="G16" s="117"/>
      <c r="H16" s="118"/>
      <c r="I16" s="118"/>
      <c r="J16" s="218"/>
      <c r="K16" s="78"/>
      <c r="L16" s="892"/>
      <c r="M16" s="892"/>
      <c r="N16" s="892"/>
      <c r="O16" s="892"/>
      <c r="P16" s="892"/>
      <c r="Q16" s="218"/>
      <c r="R16" s="218"/>
      <c r="S16" s="218"/>
      <c r="T16" s="218"/>
      <c r="U16" s="218"/>
      <c r="V16" s="218"/>
      <c r="W16" s="218"/>
      <c r="X16" s="218"/>
      <c r="Y16" s="218"/>
      <c r="Z16" s="218"/>
    </row>
    <row r="17" spans="1:16" ht="15">
      <c r="A17" s="216"/>
      <c r="B17" s="885"/>
      <c r="C17" s="885"/>
      <c r="D17" s="885"/>
      <c r="E17" s="885"/>
      <c r="F17" s="885"/>
      <c r="G17" s="885"/>
      <c r="H17" s="885"/>
      <c r="I17" s="119"/>
      <c r="J17" s="218"/>
      <c r="K17" s="236"/>
      <c r="L17" s="884"/>
      <c r="M17" s="884"/>
      <c r="N17" s="884"/>
      <c r="O17" s="884"/>
      <c r="P17" s="884"/>
    </row>
    <row r="18" spans="1:16">
      <c r="A18" s="218"/>
      <c r="B18" s="53"/>
      <c r="C18" s="53"/>
      <c r="D18" s="53"/>
      <c r="E18" s="53"/>
      <c r="F18" s="53"/>
      <c r="G18" s="53"/>
      <c r="H18" s="216"/>
      <c r="I18" s="216"/>
      <c r="J18" s="218"/>
      <c r="K18" s="216"/>
      <c r="L18" s="216"/>
      <c r="M18" s="216"/>
      <c r="N18" s="216"/>
      <c r="O18" s="216"/>
      <c r="P18" s="216"/>
    </row>
    <row r="19" spans="1:16" ht="25.5" customHeight="1">
      <c r="A19" s="218"/>
      <c r="B19" s="893"/>
      <c r="C19" s="234"/>
      <c r="D19" s="234"/>
      <c r="E19" s="234"/>
      <c r="F19" s="234"/>
      <c r="G19" s="234"/>
      <c r="H19" s="216"/>
      <c r="I19" s="216"/>
      <c r="J19" s="216"/>
      <c r="K19" s="112"/>
      <c r="L19" s="895"/>
      <c r="M19" s="895"/>
      <c r="N19" s="895"/>
      <c r="O19" s="895"/>
      <c r="P19" s="895"/>
    </row>
    <row r="20" spans="1:16" ht="25.5" customHeight="1">
      <c r="A20" s="218"/>
      <c r="B20" s="893"/>
      <c r="C20" s="120"/>
      <c r="D20" s="121"/>
      <c r="E20" s="120"/>
      <c r="F20" s="122"/>
      <c r="G20" s="123"/>
      <c r="H20" s="216"/>
      <c r="I20" s="216"/>
      <c r="J20" s="216"/>
      <c r="K20" s="110"/>
      <c r="L20" s="896"/>
      <c r="M20" s="896"/>
      <c r="N20" s="896"/>
      <c r="O20" s="896"/>
      <c r="P20" s="896"/>
    </row>
    <row r="21" spans="1:16" ht="25.5" customHeight="1">
      <c r="A21" s="218"/>
      <c r="B21" s="893"/>
      <c r="C21" s="120"/>
      <c r="D21" s="121"/>
      <c r="E21" s="120"/>
      <c r="F21" s="122"/>
      <c r="G21" s="123"/>
      <c r="H21" s="216"/>
      <c r="I21" s="216"/>
      <c r="J21" s="216"/>
      <c r="K21" s="110"/>
      <c r="L21" s="897"/>
      <c r="M21" s="897"/>
      <c r="N21" s="897"/>
      <c r="O21" s="897"/>
      <c r="P21" s="897"/>
    </row>
    <row r="22" spans="1:16" ht="25.5" customHeight="1">
      <c r="A22" s="218"/>
      <c r="B22" s="893"/>
      <c r="C22" s="120"/>
      <c r="D22" s="121"/>
      <c r="E22" s="120"/>
      <c r="F22" s="122"/>
      <c r="G22" s="123"/>
      <c r="H22" s="216"/>
      <c r="I22" s="216"/>
      <c r="J22" s="216"/>
      <c r="K22" s="110"/>
      <c r="L22" s="894"/>
      <c r="M22" s="894"/>
      <c r="N22" s="894"/>
      <c r="O22" s="894"/>
      <c r="P22" s="894"/>
    </row>
    <row r="23" spans="1:16" ht="25.5" customHeight="1">
      <c r="A23" s="218"/>
      <c r="B23" s="893"/>
      <c r="C23" s="120"/>
      <c r="D23" s="121"/>
      <c r="E23" s="120"/>
      <c r="F23" s="122"/>
      <c r="G23" s="123"/>
      <c r="H23" s="216"/>
      <c r="I23" s="216"/>
      <c r="J23" s="216"/>
      <c r="K23" s="110"/>
      <c r="L23" s="894"/>
      <c r="M23" s="894"/>
      <c r="N23" s="894"/>
      <c r="O23" s="894"/>
      <c r="P23" s="894"/>
    </row>
    <row r="24" spans="1:16" ht="25.5" customHeight="1">
      <c r="A24" s="218"/>
      <c r="B24" s="893"/>
      <c r="C24" s="120"/>
      <c r="D24" s="121"/>
      <c r="E24" s="120"/>
      <c r="F24" s="122"/>
      <c r="G24" s="123"/>
      <c r="H24" s="216"/>
      <c r="I24" s="216"/>
      <c r="J24" s="216"/>
      <c r="K24" s="110"/>
      <c r="L24" s="894"/>
      <c r="M24" s="894"/>
      <c r="N24" s="894"/>
      <c r="O24" s="894"/>
      <c r="P24" s="894"/>
    </row>
    <row r="25" spans="1:16" ht="25.5" customHeight="1">
      <c r="A25" s="218"/>
      <c r="B25" s="893"/>
      <c r="C25" s="120"/>
      <c r="D25" s="121"/>
      <c r="E25" s="120"/>
      <c r="F25" s="123"/>
      <c r="G25" s="123"/>
      <c r="H25" s="216"/>
      <c r="I25" s="216"/>
      <c r="J25" s="216"/>
      <c r="K25" s="110"/>
      <c r="L25" s="894"/>
      <c r="M25" s="894"/>
      <c r="N25" s="894"/>
      <c r="O25" s="894"/>
      <c r="P25" s="894"/>
    </row>
    <row r="26" spans="1:16" ht="25.5" customHeight="1">
      <c r="A26" s="218"/>
      <c r="B26" s="52"/>
      <c r="C26" s="216"/>
      <c r="D26" s="216"/>
      <c r="E26" s="216"/>
      <c r="F26" s="216"/>
      <c r="G26" s="216"/>
      <c r="H26" s="216"/>
      <c r="I26" s="216"/>
      <c r="J26" s="216"/>
      <c r="K26" s="110"/>
      <c r="L26" s="894"/>
      <c r="M26" s="894"/>
      <c r="N26" s="894"/>
      <c r="O26" s="894"/>
      <c r="P26" s="894"/>
    </row>
    <row r="27" spans="1:16" ht="25.5" customHeight="1">
      <c r="A27" s="218"/>
      <c r="B27" s="73"/>
      <c r="C27" s="37"/>
      <c r="D27" s="37"/>
      <c r="E27" s="37"/>
      <c r="F27" s="37"/>
      <c r="G27" s="37"/>
      <c r="H27" s="216"/>
      <c r="I27" s="216"/>
      <c r="J27" s="216"/>
      <c r="K27" s="110"/>
      <c r="L27" s="894"/>
      <c r="M27" s="894"/>
      <c r="N27" s="894"/>
      <c r="O27" s="894"/>
      <c r="P27" s="894"/>
    </row>
    <row r="28" spans="1:16" ht="25.5" customHeight="1">
      <c r="A28" s="218"/>
      <c r="B28" s="218"/>
      <c r="C28" s="218"/>
      <c r="D28" s="218"/>
      <c r="E28" s="218"/>
      <c r="F28" s="218"/>
      <c r="G28" s="218"/>
      <c r="H28" s="218"/>
      <c r="I28" s="218"/>
      <c r="J28" s="216"/>
      <c r="K28" s="111"/>
      <c r="L28" s="894"/>
      <c r="M28" s="894"/>
      <c r="N28" s="894"/>
      <c r="O28" s="894"/>
      <c r="P28" s="894"/>
    </row>
    <row r="29" spans="1:16" ht="25.5" customHeight="1">
      <c r="A29" s="218"/>
      <c r="B29" s="218"/>
      <c r="C29" s="218"/>
      <c r="D29" s="218"/>
      <c r="E29" s="218"/>
      <c r="F29" s="218"/>
      <c r="G29" s="218"/>
      <c r="H29" s="218"/>
      <c r="I29" s="218"/>
      <c r="J29" s="216"/>
      <c r="K29" s="111"/>
      <c r="L29" s="894"/>
      <c r="M29" s="894"/>
      <c r="N29" s="894"/>
      <c r="O29" s="894"/>
      <c r="P29" s="894"/>
    </row>
    <row r="30" spans="1:16" ht="25.5" customHeight="1">
      <c r="A30" s="124">
        <v>1</v>
      </c>
      <c r="B30" s="124" t="str">
        <f>INDEX(Z7:Z8,A30)</f>
        <v>Polski</v>
      </c>
      <c r="C30" s="218"/>
      <c r="D30" s="218"/>
      <c r="E30" s="218"/>
      <c r="F30" s="218"/>
      <c r="G30" s="218"/>
      <c r="H30" s="218"/>
      <c r="I30" s="218"/>
      <c r="J30" s="216"/>
      <c r="K30" s="73"/>
      <c r="L30" s="73"/>
      <c r="M30" s="216"/>
      <c r="N30" s="216"/>
      <c r="O30" s="216"/>
      <c r="P30" s="216"/>
    </row>
    <row r="31" spans="1:16" ht="26.25" customHeight="1">
      <c r="A31" s="218"/>
      <c r="B31" s="218"/>
      <c r="C31" s="218"/>
      <c r="D31" s="218"/>
      <c r="E31" s="218"/>
      <c r="F31" s="218"/>
      <c r="G31" s="218"/>
      <c r="H31" s="218"/>
      <c r="I31" s="218"/>
      <c r="J31" s="216"/>
      <c r="K31" s="216"/>
      <c r="L31" s="216"/>
      <c r="M31" s="216"/>
      <c r="N31" s="216"/>
      <c r="O31" s="216"/>
      <c r="P31" s="216"/>
    </row>
    <row r="32" spans="1:16">
      <c r="A32" s="218"/>
      <c r="B32" s="218"/>
      <c r="C32" s="218"/>
      <c r="D32" s="218"/>
      <c r="E32" s="218"/>
      <c r="F32" s="218"/>
      <c r="G32" s="218"/>
      <c r="H32" s="218"/>
      <c r="I32" s="218"/>
      <c r="J32" s="216"/>
      <c r="K32" s="216"/>
      <c r="L32" s="216"/>
      <c r="M32" s="216"/>
      <c r="N32" s="216"/>
      <c r="O32" s="216"/>
      <c r="P32" s="216"/>
    </row>
  </sheetData>
  <mergeCells count="32">
    <mergeCell ref="L26:P26"/>
    <mergeCell ref="L27:P27"/>
    <mergeCell ref="L28:P28"/>
    <mergeCell ref="L29:P29"/>
    <mergeCell ref="B19:B25"/>
    <mergeCell ref="L19:P19"/>
    <mergeCell ref="L20:P20"/>
    <mergeCell ref="L21:P21"/>
    <mergeCell ref="L22:P22"/>
    <mergeCell ref="L23:P23"/>
    <mergeCell ref="L24:P24"/>
    <mergeCell ref="L25:P25"/>
    <mergeCell ref="B17:H17"/>
    <mergeCell ref="L17:P17"/>
    <mergeCell ref="C8:D8"/>
    <mergeCell ref="L8:P8"/>
    <mergeCell ref="C9:D9"/>
    <mergeCell ref="L9:P9"/>
    <mergeCell ref="B11:H11"/>
    <mergeCell ref="L11:P11"/>
    <mergeCell ref="B12:H12"/>
    <mergeCell ref="L12:P12"/>
    <mergeCell ref="F15:F16"/>
    <mergeCell ref="L15:P15"/>
    <mergeCell ref="L16:P16"/>
    <mergeCell ref="E1:H3"/>
    <mergeCell ref="K1:P3"/>
    <mergeCell ref="F7:F8"/>
    <mergeCell ref="G7:G8"/>
    <mergeCell ref="H7:H8"/>
    <mergeCell ref="I7:I8"/>
    <mergeCell ref="K7:P7"/>
  </mergeCells>
  <pageMargins left="0.7" right="0.7" top="0.75" bottom="0.75" header="0.3" footer="0.3"/>
  <pageSetup paperSize="256" scale="6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2</xdr:col>
                    <xdr:colOff>19050</xdr:colOff>
                    <xdr:row>7</xdr:row>
                    <xdr:rowOff>9525</xdr:rowOff>
                  </from>
                  <to>
                    <xdr:col>4</xdr:col>
                    <xdr:colOff>19050</xdr:colOff>
                    <xdr:row>7</xdr:row>
                    <xdr:rowOff>295275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B454D-7F6B-45B7-B000-207EC705049E}">
  <dimension ref="A1:H21"/>
  <sheetViews>
    <sheetView workbookViewId="0">
      <selection activeCell="A6" sqref="A6"/>
    </sheetView>
  </sheetViews>
  <sheetFormatPr defaultRowHeight="15"/>
  <cols>
    <col min="1" max="1" width="9.140625" style="356"/>
    <col min="2" max="2" width="43" style="356" customWidth="1"/>
    <col min="3" max="3" width="55" style="356" customWidth="1"/>
    <col min="4" max="4" width="39" style="356" customWidth="1"/>
    <col min="5" max="16384" width="9.140625" style="356"/>
  </cols>
  <sheetData>
    <row r="1" spans="1:8" ht="12.75" customHeight="1">
      <c r="C1" s="881" t="str">
        <f>IF('Język - Language'!$B$30="Polski",CONCATENATE("Cennik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D1" s="881"/>
    </row>
    <row r="2" spans="1:8" ht="12.75" customHeight="1">
      <c r="C2" s="881"/>
      <c r="D2" s="881"/>
    </row>
    <row r="3" spans="1:8" ht="12.75" customHeight="1">
      <c r="C3" s="881"/>
      <c r="D3" s="881"/>
    </row>
    <row r="4" spans="1:8" s="221" customFormat="1" ht="12.75" customHeight="1">
      <c r="B4" s="33" t="s">
        <v>423</v>
      </c>
      <c r="D4" s="33"/>
      <c r="H4" s="215"/>
    </row>
    <row r="5" spans="1:8" s="725" customFormat="1" ht="12.75" customHeight="1">
      <c r="C5" s="870"/>
      <c r="D5" s="870"/>
      <c r="H5" s="871"/>
    </row>
    <row r="6" spans="1:8">
      <c r="B6" s="879"/>
      <c r="C6" s="879"/>
      <c r="D6" s="879"/>
    </row>
    <row r="7" spans="1:8">
      <c r="A7" s="878"/>
      <c r="B7" s="1277" t="s">
        <v>397</v>
      </c>
      <c r="C7" s="1278"/>
      <c r="D7" s="868" t="s">
        <v>398</v>
      </c>
    </row>
    <row r="8" spans="1:8" ht="48" customHeight="1">
      <c r="B8" s="1045" t="s">
        <v>418</v>
      </c>
      <c r="C8" s="1045"/>
      <c r="D8" s="877" t="s">
        <v>419</v>
      </c>
    </row>
    <row r="9" spans="1:8">
      <c r="B9" s="880"/>
      <c r="C9" s="880"/>
      <c r="D9" s="880"/>
    </row>
    <row r="10" spans="1:8">
      <c r="A10" s="878"/>
      <c r="B10" s="1279" t="s">
        <v>399</v>
      </c>
      <c r="C10" s="1280"/>
      <c r="D10" s="1281"/>
    </row>
    <row r="11" spans="1:8" ht="48" customHeight="1">
      <c r="B11" s="874" t="s">
        <v>400</v>
      </c>
      <c r="C11" s="875" t="s">
        <v>401</v>
      </c>
      <c r="D11" s="876" t="s">
        <v>420</v>
      </c>
    </row>
    <row r="12" spans="1:8" ht="48" customHeight="1">
      <c r="B12" s="873" t="s">
        <v>402</v>
      </c>
      <c r="C12" s="873" t="s">
        <v>403</v>
      </c>
      <c r="D12" s="869" t="s">
        <v>420</v>
      </c>
    </row>
    <row r="13" spans="1:8" ht="48" customHeight="1">
      <c r="B13" s="873" t="s">
        <v>404</v>
      </c>
      <c r="C13" s="873" t="s">
        <v>405</v>
      </c>
      <c r="D13" s="869" t="s">
        <v>420</v>
      </c>
    </row>
    <row r="14" spans="1:8" ht="48" customHeight="1">
      <c r="B14" s="873" t="s">
        <v>406</v>
      </c>
      <c r="C14" s="873" t="s">
        <v>407</v>
      </c>
      <c r="D14" s="869" t="s">
        <v>421</v>
      </c>
    </row>
    <row r="15" spans="1:8" ht="48" customHeight="1">
      <c r="B15" s="873" t="s">
        <v>408</v>
      </c>
      <c r="C15" s="873" t="s">
        <v>409</v>
      </c>
      <c r="D15" s="869" t="s">
        <v>422</v>
      </c>
    </row>
    <row r="16" spans="1:8" ht="48" customHeight="1">
      <c r="B16" s="873" t="s">
        <v>410</v>
      </c>
      <c r="C16" s="873" t="s">
        <v>411</v>
      </c>
      <c r="D16" s="869" t="s">
        <v>336</v>
      </c>
    </row>
    <row r="17" spans="2:4" ht="48" customHeight="1">
      <c r="B17" s="873" t="s">
        <v>412</v>
      </c>
      <c r="C17" s="873" t="s">
        <v>413</v>
      </c>
      <c r="D17" s="869" t="s">
        <v>421</v>
      </c>
    </row>
    <row r="18" spans="2:4" ht="48" customHeight="1">
      <c r="B18" s="873" t="s">
        <v>414</v>
      </c>
      <c r="C18" s="873" t="s">
        <v>415</v>
      </c>
      <c r="D18" s="869" t="s">
        <v>336</v>
      </c>
    </row>
    <row r="19" spans="2:4" ht="48" customHeight="1">
      <c r="B19" s="873" t="s">
        <v>416</v>
      </c>
      <c r="C19" s="873" t="s">
        <v>417</v>
      </c>
      <c r="D19" s="869" t="s">
        <v>35</v>
      </c>
    </row>
    <row r="20" spans="2:4" ht="15.75">
      <c r="B20" s="872"/>
    </row>
    <row r="21" spans="2:4">
      <c r="B21" s="191" t="str">
        <f>IF('Język - Language'!$B$30="Polski","¹ Zastosowanie mechanizmów nie wyszczególnionych w tabelce wymaga indywidualnego potwierdzenia takiej możliwości i jej wyceny","¹ OutStream - available only in selected sites, not avaible for Skip Ad")</f>
        <v>¹ Zastosowanie mechanizmów nie wyszczególnionych w tabelce wymaga indywidualnego potwierdzenia takiej możliwości i jej wyceny</v>
      </c>
    </row>
  </sheetData>
  <mergeCells count="4">
    <mergeCell ref="B7:C7"/>
    <mergeCell ref="B8:C8"/>
    <mergeCell ref="B10:D10"/>
    <mergeCell ref="C1:D3"/>
  </mergeCells>
  <pageMargins left="0.7" right="0.7" top="0.75" bottom="0.75" header="0.3" footer="0.3"/>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1">
    <tabColor rgb="FFFF0000"/>
  </sheetPr>
  <dimension ref="A1:AY393"/>
  <sheetViews>
    <sheetView zoomScaleNormal="100" workbookViewId="0">
      <selection activeCell="A6" sqref="A6"/>
    </sheetView>
  </sheetViews>
  <sheetFormatPr defaultRowHeight="15"/>
  <cols>
    <col min="3" max="3" width="30.85546875" customWidth="1"/>
    <col min="6" max="6" width="15.5703125" customWidth="1"/>
    <col min="7" max="7" width="9.140625" customWidth="1"/>
    <col min="8" max="8" width="4.85546875" customWidth="1"/>
    <col min="9" max="9" width="4" hidden="1" customWidth="1"/>
    <col min="13" max="13" width="37.42578125" customWidth="1"/>
    <col min="16" max="16" width="18.85546875" customWidth="1"/>
    <col min="17" max="51" width="9.140625" style="12" customWidth="1"/>
  </cols>
  <sheetData>
    <row r="1" spans="1:18" s="12" customFormat="1">
      <c r="A1" s="219"/>
      <c r="B1" s="219"/>
      <c r="C1" s="219"/>
      <c r="D1" s="219"/>
      <c r="E1" s="219"/>
      <c r="F1" s="219"/>
      <c r="G1" s="219"/>
      <c r="H1" s="219"/>
      <c r="I1" s="219"/>
      <c r="J1" s="219"/>
      <c r="K1" s="219"/>
      <c r="L1" s="219"/>
      <c r="M1" s="219"/>
      <c r="N1" s="219"/>
      <c r="O1" s="219"/>
      <c r="P1" s="219"/>
      <c r="Q1" s="219"/>
      <c r="R1" s="219"/>
    </row>
    <row r="2" spans="1:18" ht="15" customHeight="1">
      <c r="A2" s="11"/>
      <c r="B2" s="11"/>
      <c r="C2" s="11"/>
      <c r="D2" s="11"/>
      <c r="E2" s="11"/>
      <c r="F2" s="11"/>
      <c r="G2" s="11"/>
      <c r="H2" s="11"/>
      <c r="I2" s="11"/>
      <c r="J2" s="1285"/>
      <c r="K2" s="1285"/>
      <c r="L2" s="1285"/>
      <c r="M2" s="1285"/>
      <c r="N2" s="80"/>
      <c r="O2" s="80"/>
      <c r="P2" s="80"/>
      <c r="Q2" s="80"/>
      <c r="R2" s="80"/>
    </row>
    <row r="3" spans="1:18" ht="15" customHeight="1">
      <c r="A3" s="11"/>
      <c r="B3" s="11"/>
      <c r="C3" s="11"/>
      <c r="D3" s="11"/>
      <c r="E3" s="11"/>
      <c r="F3" s="11"/>
      <c r="G3" s="11"/>
      <c r="H3" s="11"/>
      <c r="I3" s="11"/>
      <c r="J3" s="1285"/>
      <c r="K3" s="1285"/>
      <c r="L3" s="1285"/>
      <c r="M3" s="1285"/>
      <c r="N3" s="80"/>
      <c r="O3" s="80"/>
      <c r="P3" s="80"/>
      <c r="Q3" s="80"/>
      <c r="R3" s="80"/>
    </row>
    <row r="4" spans="1:18">
      <c r="A4" s="11"/>
      <c r="B4" s="11"/>
      <c r="C4" s="11"/>
      <c r="D4" s="11"/>
      <c r="E4" s="11"/>
      <c r="F4" s="11"/>
      <c r="G4" s="11"/>
      <c r="H4" s="11"/>
      <c r="I4" s="11"/>
      <c r="J4" s="1285"/>
      <c r="K4" s="1285"/>
      <c r="L4" s="1285"/>
      <c r="M4" s="1285"/>
      <c r="N4" s="80"/>
      <c r="O4" s="80"/>
      <c r="P4" s="80"/>
      <c r="Q4" s="80"/>
      <c r="R4" s="80"/>
    </row>
    <row r="5" spans="1:18">
      <c r="A5" s="11"/>
      <c r="B5" s="11"/>
      <c r="C5" s="11"/>
      <c r="D5" s="11"/>
      <c r="E5" s="11"/>
      <c r="F5" s="11"/>
      <c r="G5" s="11"/>
      <c r="H5" s="11"/>
      <c r="I5" s="11"/>
      <c r="J5" s="80"/>
      <c r="K5" s="80"/>
      <c r="L5" s="80"/>
      <c r="M5" s="80"/>
      <c r="N5" s="80"/>
      <c r="O5" s="80"/>
      <c r="P5" s="80"/>
      <c r="Q5" s="80"/>
      <c r="R5" s="80"/>
    </row>
    <row r="6" spans="1:18">
      <c r="A6" s="11"/>
      <c r="B6" s="11"/>
      <c r="C6" s="11"/>
      <c r="D6" s="11"/>
      <c r="E6" s="11"/>
      <c r="F6" s="11"/>
      <c r="G6" s="11"/>
      <c r="H6" s="11"/>
      <c r="I6" s="11"/>
      <c r="J6" s="11"/>
      <c r="K6" s="11"/>
      <c r="L6" s="11"/>
      <c r="M6" s="11"/>
      <c r="N6" s="11"/>
      <c r="O6" s="11"/>
      <c r="P6" s="11"/>
      <c r="Q6" s="219"/>
      <c r="R6" s="219"/>
    </row>
    <row r="7" spans="1:18">
      <c r="A7" s="11"/>
      <c r="B7" s="11"/>
      <c r="C7" s="11"/>
      <c r="D7" s="11"/>
      <c r="E7" s="11"/>
      <c r="F7" s="11"/>
      <c r="G7" s="11"/>
      <c r="H7" s="11"/>
      <c r="I7" s="11"/>
      <c r="J7" s="11"/>
      <c r="K7" s="11"/>
      <c r="L7" s="11"/>
      <c r="M7" s="11"/>
      <c r="N7" s="11"/>
      <c r="O7" s="11"/>
      <c r="P7" s="11"/>
      <c r="Q7" s="219"/>
      <c r="R7" s="219"/>
    </row>
    <row r="8" spans="1:18">
      <c r="A8" s="11"/>
      <c r="B8" s="11"/>
      <c r="C8" s="11"/>
      <c r="D8" s="1282" t="str">
        <f>IF('Język - Language'!$B$30="Polski","Regulamin sprzedaży reklamy","General rules of advertisement sales")</f>
        <v>Regulamin sprzedaży reklamy</v>
      </c>
      <c r="E8" s="1282"/>
      <c r="F8" s="1282"/>
      <c r="G8" s="1283" t="s">
        <v>197</v>
      </c>
      <c r="H8" s="1284"/>
      <c r="I8" s="1284"/>
      <c r="J8" s="1284"/>
      <c r="K8" s="1284"/>
      <c r="L8" s="1284"/>
      <c r="M8" s="1284"/>
      <c r="N8" s="1284"/>
      <c r="O8" s="1284"/>
      <c r="P8" s="1284"/>
      <c r="Q8" s="219"/>
      <c r="R8" s="219"/>
    </row>
    <row r="9" spans="1:18">
      <c r="A9" s="11"/>
      <c r="B9" s="11"/>
      <c r="C9" s="11"/>
      <c r="D9" s="28"/>
      <c r="E9" s="28"/>
      <c r="F9" s="28"/>
      <c r="G9" s="29"/>
      <c r="H9" s="29"/>
      <c r="I9" s="29"/>
      <c r="J9" s="29"/>
      <c r="K9" s="29"/>
      <c r="L9" s="29"/>
      <c r="M9" s="29"/>
      <c r="N9" s="29"/>
      <c r="O9" s="29"/>
      <c r="P9" s="29"/>
      <c r="Q9" s="219"/>
      <c r="R9" s="219"/>
    </row>
    <row r="10" spans="1:18" ht="57" customHeight="1">
      <c r="A10" s="11"/>
      <c r="B10" s="11"/>
      <c r="C10" s="11"/>
      <c r="D10" s="1288" t="str">
        <f>IF('Język - Language'!$B$30="Polski","Specyfikacja techniczna do pobrania na serwisie Reklama.wp.pl","You can download our technical specification from reklama.wp.pl")</f>
        <v>Specyfikacja techniczna do pobrania na serwisie Reklama.wp.pl</v>
      </c>
      <c r="E10" s="1288"/>
      <c r="F10" s="1288"/>
      <c r="G10" s="1283" t="s">
        <v>197</v>
      </c>
      <c r="H10" s="1284"/>
      <c r="I10" s="1284"/>
      <c r="J10" s="1284"/>
      <c r="K10" s="1284"/>
      <c r="L10" s="1284"/>
      <c r="M10" s="1284"/>
      <c r="N10" s="1284"/>
      <c r="O10" s="1284"/>
      <c r="P10" s="29"/>
      <c r="Q10" s="219"/>
      <c r="R10" s="219"/>
    </row>
    <row r="11" spans="1:18" s="12" customFormat="1" ht="47.25" customHeight="1">
      <c r="A11" s="219"/>
      <c r="B11" s="219"/>
      <c r="C11" s="219"/>
      <c r="D11" s="219"/>
      <c r="E11" s="219"/>
      <c r="F11" s="219"/>
      <c r="G11" s="219"/>
      <c r="H11" s="219"/>
      <c r="I11" s="219"/>
      <c r="J11" s="219"/>
      <c r="K11" s="219"/>
      <c r="L11" s="219"/>
      <c r="M11" s="219"/>
      <c r="N11" s="219"/>
      <c r="O11" s="219"/>
      <c r="P11" s="219"/>
      <c r="Q11" s="219"/>
      <c r="R11" s="219"/>
    </row>
    <row r="12" spans="1:18" s="12" customFormat="1">
      <c r="A12" s="219"/>
      <c r="B12" s="219"/>
      <c r="C12" s="219"/>
      <c r="D12" s="259"/>
      <c r="E12" s="259"/>
      <c r="F12" s="259"/>
      <c r="G12" s="1289"/>
      <c r="H12" s="1289"/>
      <c r="I12" s="1289"/>
      <c r="J12" s="1289"/>
      <c r="K12" s="1289"/>
      <c r="L12" s="1289"/>
      <c r="M12" s="1289"/>
      <c r="N12" s="1289"/>
      <c r="O12" s="1289"/>
      <c r="P12" s="219"/>
      <c r="Q12" s="219"/>
      <c r="R12" s="219"/>
    </row>
    <row r="13" spans="1:18" s="12" customFormat="1">
      <c r="A13" s="219"/>
      <c r="B13" s="219"/>
      <c r="C13" s="219"/>
      <c r="D13" s="13"/>
      <c r="E13" s="13"/>
      <c r="F13" s="13"/>
      <c r="G13" s="219"/>
      <c r="H13" s="219"/>
      <c r="I13" s="219"/>
      <c r="J13" s="219"/>
      <c r="K13" s="219"/>
      <c r="L13" s="219"/>
      <c r="M13" s="219"/>
      <c r="N13" s="219"/>
      <c r="O13" s="219"/>
      <c r="P13" s="219"/>
      <c r="Q13" s="219"/>
      <c r="R13" s="219"/>
    </row>
    <row r="14" spans="1:18" s="12" customFormat="1">
      <c r="A14" s="219"/>
      <c r="B14" s="219"/>
      <c r="C14" s="219"/>
      <c r="D14" s="1290"/>
      <c r="E14" s="1290"/>
      <c r="F14" s="1290"/>
      <c r="G14" s="1289"/>
      <c r="H14" s="1289"/>
      <c r="I14" s="1289"/>
      <c r="J14" s="1289"/>
      <c r="K14" s="1289"/>
      <c r="L14" s="1289"/>
      <c r="M14" s="1289"/>
      <c r="N14" s="1289"/>
      <c r="O14" s="1289"/>
      <c r="P14" s="219"/>
      <c r="Q14" s="219"/>
      <c r="R14" s="219"/>
    </row>
    <row r="15" spans="1:18" s="12" customFormat="1">
      <c r="A15" s="219"/>
      <c r="B15" s="219"/>
      <c r="C15" s="219"/>
      <c r="D15" s="219"/>
      <c r="E15"/>
      <c r="F15" s="219"/>
      <c r="G15" s="1286"/>
      <c r="H15" s="1287"/>
      <c r="I15" s="1287"/>
      <c r="J15" s="1287"/>
      <c r="K15" s="1287"/>
      <c r="L15" s="1287"/>
      <c r="M15" s="1287"/>
      <c r="N15" s="1287"/>
      <c r="O15" s="1287"/>
      <c r="P15" s="219"/>
      <c r="Q15" s="219"/>
      <c r="R15" s="219"/>
    </row>
    <row r="16" spans="1:18" s="12" customFormat="1">
      <c r="A16" s="219"/>
      <c r="B16" s="219"/>
      <c r="C16" s="219"/>
      <c r="D16" s="219"/>
      <c r="E16" s="219"/>
      <c r="F16" s="219"/>
      <c r="G16" s="219"/>
      <c r="H16" s="219"/>
      <c r="I16" s="219"/>
      <c r="J16" s="219"/>
      <c r="K16" s="219"/>
      <c r="L16" s="219"/>
      <c r="M16" s="219"/>
      <c r="N16" s="219"/>
      <c r="O16" s="219"/>
      <c r="P16" s="219"/>
      <c r="Q16" s="219"/>
      <c r="R16" s="219"/>
    </row>
    <row r="17" s="12" customFormat="1"/>
    <row r="18" s="12" customFormat="1"/>
    <row r="19" s="12" customFormat="1"/>
    <row r="20" s="12" customFormat="1"/>
    <row r="21" s="12" customFormat="1"/>
    <row r="22" s="12" customFormat="1"/>
    <row r="23" s="12" customFormat="1"/>
    <row r="24" s="12" customFormat="1"/>
    <row r="25" s="12" customFormat="1"/>
    <row r="26" s="12" customFormat="1"/>
    <row r="27" s="12" customFormat="1"/>
    <row r="28" s="12" customFormat="1"/>
    <row r="29" s="12" customFormat="1"/>
    <row r="30" s="12" customFormat="1"/>
    <row r="31" s="12" customFormat="1"/>
    <row r="32" s="12" customFormat="1"/>
    <row r="33" s="12" customFormat="1"/>
    <row r="34" s="12" customFormat="1"/>
    <row r="35" s="12" customFormat="1"/>
    <row r="36" s="12" customFormat="1"/>
    <row r="37" s="12" customFormat="1"/>
    <row r="38" s="12" customFormat="1"/>
    <row r="39" s="12" customFormat="1"/>
    <row r="40" s="12" customFormat="1"/>
    <row r="41" s="12" customFormat="1"/>
    <row r="42" s="12" customFormat="1"/>
    <row r="43" s="12" customFormat="1"/>
    <row r="44" s="12" customFormat="1"/>
    <row r="45" s="12" customFormat="1"/>
    <row r="46" s="12" customFormat="1"/>
    <row r="47" s="12" customFormat="1"/>
    <row r="48" s="12" customFormat="1"/>
    <row r="49" s="12" customFormat="1"/>
    <row r="50" s="12" customFormat="1"/>
    <row r="51" s="12" customFormat="1"/>
    <row r="52" s="12" customFormat="1"/>
    <row r="53" s="12" customFormat="1"/>
    <row r="54" s="12" customFormat="1"/>
    <row r="55" s="12" customFormat="1"/>
    <row r="56" s="12" customFormat="1"/>
    <row r="57" s="12" customFormat="1"/>
    <row r="58" s="12" customFormat="1"/>
    <row r="59" s="12" customFormat="1"/>
    <row r="60" s="12" customFormat="1"/>
    <row r="61" s="12" customFormat="1"/>
    <row r="62" s="12" customFormat="1"/>
    <row r="63" s="12" customFormat="1"/>
    <row r="64" s="12" customFormat="1"/>
    <row r="65" s="12" customFormat="1"/>
    <row r="66" s="12" customFormat="1"/>
    <row r="67" s="12" customFormat="1"/>
    <row r="68" s="12" customFormat="1"/>
    <row r="69" s="12" customFormat="1"/>
    <row r="70" s="12" customFormat="1"/>
    <row r="71" s="12" customFormat="1"/>
    <row r="72" s="12" customFormat="1"/>
    <row r="73" s="12" customFormat="1"/>
    <row r="74" s="12" customFormat="1"/>
    <row r="75" s="12" customFormat="1"/>
    <row r="76" s="12" customFormat="1"/>
    <row r="77" s="12" customFormat="1"/>
    <row r="78" s="12" customFormat="1"/>
    <row r="79" s="12" customFormat="1"/>
    <row r="80" s="12" customFormat="1"/>
    <row r="81" s="12" customFormat="1"/>
    <row r="82" s="12" customFormat="1"/>
    <row r="83" s="12" customFormat="1"/>
    <row r="84" s="12" customFormat="1"/>
    <row r="85" s="12" customFormat="1"/>
    <row r="86" s="12" customFormat="1"/>
    <row r="87" s="12" customFormat="1"/>
    <row r="88" s="12" customFormat="1"/>
    <row r="89" s="12" customFormat="1"/>
    <row r="90" s="12" customFormat="1"/>
    <row r="91" s="12" customFormat="1"/>
    <row r="92" s="12" customFormat="1"/>
    <row r="93" s="12" customFormat="1"/>
    <row r="94" s="12" customFormat="1"/>
    <row r="95" s="12" customFormat="1"/>
    <row r="96" s="12" customFormat="1"/>
    <row r="97" s="12" customFormat="1"/>
    <row r="98" s="12" customFormat="1"/>
    <row r="99" s="12" customFormat="1"/>
    <row r="100" s="12" customFormat="1"/>
    <row r="101" s="12" customFormat="1"/>
    <row r="102" s="12" customFormat="1"/>
    <row r="103" s="12" customFormat="1"/>
    <row r="104" s="12" customFormat="1"/>
    <row r="105" s="12" customFormat="1"/>
    <row r="106" s="12" customFormat="1"/>
    <row r="107" s="12" customFormat="1"/>
    <row r="108" s="12" customFormat="1"/>
    <row r="109" s="12" customFormat="1"/>
    <row r="110" s="12" customFormat="1"/>
    <row r="111" s="12" customFormat="1"/>
    <row r="112" s="12" customFormat="1"/>
    <row r="113" s="12" customFormat="1"/>
    <row r="114" s="12" customFormat="1"/>
    <row r="115" s="12" customFormat="1"/>
    <row r="116" s="12" customFormat="1"/>
    <row r="117" s="12" customFormat="1"/>
    <row r="118" s="12" customFormat="1"/>
    <row r="119" s="12" customFormat="1"/>
    <row r="120" s="12" customFormat="1"/>
    <row r="121" s="12" customFormat="1"/>
    <row r="122" s="12" customFormat="1"/>
    <row r="123" s="12" customFormat="1"/>
    <row r="124" s="12" customFormat="1"/>
    <row r="125" s="12" customFormat="1"/>
    <row r="126" s="12" customFormat="1"/>
    <row r="127" s="12" customFormat="1"/>
    <row r="128" s="12" customFormat="1"/>
    <row r="129" s="12" customFormat="1"/>
    <row r="130" s="12" customFormat="1"/>
    <row r="131" s="12" customFormat="1"/>
    <row r="132" s="12" customFormat="1"/>
    <row r="133" s="12" customFormat="1"/>
    <row r="134" s="12" customFormat="1"/>
    <row r="135" s="12" customFormat="1"/>
    <row r="136" s="12" customFormat="1"/>
    <row r="137" s="12" customFormat="1"/>
    <row r="138" s="12" customFormat="1"/>
    <row r="139" s="12" customFormat="1"/>
    <row r="140" s="12" customFormat="1"/>
    <row r="141" s="12" customFormat="1"/>
    <row r="142" s="12" customFormat="1"/>
    <row r="143" s="12" customFormat="1"/>
    <row r="144" s="12" customFormat="1"/>
    <row r="145" s="12" customFormat="1"/>
    <row r="146" s="12" customFormat="1"/>
    <row r="147" s="12" customFormat="1"/>
    <row r="148" s="12" customFormat="1"/>
    <row r="149" s="12" customFormat="1"/>
    <row r="150" s="12" customFormat="1"/>
    <row r="151" s="12" customFormat="1"/>
    <row r="152" s="12" customFormat="1"/>
    <row r="153" s="12" customFormat="1"/>
    <row r="154" s="12" customFormat="1"/>
    <row r="155" s="12" customFormat="1"/>
    <row r="156" s="12" customFormat="1"/>
    <row r="157" s="12" customFormat="1"/>
    <row r="158" s="12" customFormat="1"/>
    <row r="159" s="12" customFormat="1"/>
    <row r="160" s="12" customFormat="1"/>
    <row r="161" s="12" customFormat="1"/>
    <row r="162" s="12" customFormat="1"/>
    <row r="163" s="12" customFormat="1"/>
    <row r="164" s="12" customFormat="1"/>
    <row r="165" s="12" customFormat="1"/>
    <row r="166" s="12" customFormat="1"/>
    <row r="167" s="12" customFormat="1"/>
    <row r="168" s="12" customFormat="1"/>
    <row r="169" s="12" customFormat="1"/>
    <row r="170" s="12" customFormat="1"/>
    <row r="171" s="12" customFormat="1"/>
    <row r="172" s="12" customFormat="1"/>
    <row r="173" s="12" customFormat="1"/>
    <row r="174" s="12" customFormat="1"/>
    <row r="175" s="12" customFormat="1"/>
    <row r="176" s="12" customFormat="1"/>
    <row r="177" s="12" customFormat="1"/>
    <row r="178" s="12" customFormat="1"/>
    <row r="179" s="12" customFormat="1"/>
    <row r="180" s="12" customFormat="1"/>
    <row r="181" s="12" customFormat="1"/>
    <row r="182" s="12" customFormat="1"/>
    <row r="183" s="12" customFormat="1"/>
    <row r="184" s="12" customFormat="1"/>
    <row r="185" s="12" customFormat="1"/>
    <row r="186" s="12" customFormat="1"/>
    <row r="187" s="12" customFormat="1"/>
    <row r="188" s="12" customFormat="1"/>
    <row r="189" s="12" customFormat="1"/>
    <row r="190" s="12" customFormat="1"/>
    <row r="191" s="12" customFormat="1"/>
    <row r="192" s="12" customFormat="1"/>
    <row r="193" s="12" customFormat="1"/>
    <row r="194" s="12" customFormat="1"/>
    <row r="195" s="12" customFormat="1"/>
    <row r="196" s="12" customFormat="1"/>
    <row r="197" s="12" customFormat="1"/>
    <row r="198" s="12" customFormat="1"/>
    <row r="199" s="12" customFormat="1"/>
    <row r="200" s="12" customFormat="1"/>
    <row r="201" s="12" customFormat="1"/>
    <row r="202" s="12" customFormat="1"/>
    <row r="203" s="12" customFormat="1"/>
    <row r="204" s="12" customFormat="1"/>
    <row r="205" s="12" customFormat="1"/>
    <row r="206" s="12" customFormat="1"/>
    <row r="207" s="12" customFormat="1"/>
    <row r="208" s="12" customFormat="1"/>
    <row r="209" s="12" customFormat="1"/>
    <row r="210" s="12" customFormat="1"/>
    <row r="211" s="12" customFormat="1"/>
    <row r="212" s="12" customFormat="1"/>
    <row r="213" s="12" customFormat="1"/>
    <row r="214" s="12" customFormat="1"/>
    <row r="215" s="12" customFormat="1"/>
    <row r="216" s="12" customFormat="1"/>
    <row r="217" s="12" customFormat="1"/>
    <row r="218" s="12" customFormat="1"/>
    <row r="219" s="12" customFormat="1"/>
    <row r="220" s="12" customFormat="1"/>
    <row r="221" s="12" customFormat="1"/>
    <row r="222" s="12" customFormat="1"/>
    <row r="223" s="12" customFormat="1"/>
    <row r="224" s="12" customFormat="1"/>
    <row r="225" s="12" customFormat="1"/>
    <row r="226" s="12" customFormat="1"/>
    <row r="227" s="12" customFormat="1"/>
    <row r="228" s="12" customFormat="1"/>
    <row r="229" s="12" customFormat="1"/>
    <row r="230" s="12" customFormat="1"/>
    <row r="231" s="12" customFormat="1"/>
    <row r="232" s="12" customFormat="1"/>
    <row r="233" s="12" customFormat="1"/>
    <row r="234" s="12" customFormat="1"/>
    <row r="235" s="12" customFormat="1"/>
    <row r="236" s="12" customFormat="1"/>
    <row r="237" s="12" customFormat="1"/>
    <row r="238" s="12" customFormat="1"/>
    <row r="239" s="12" customFormat="1"/>
    <row r="240" s="12" customFormat="1"/>
    <row r="241" s="12" customFormat="1"/>
    <row r="242" s="12" customFormat="1"/>
    <row r="243" s="12" customFormat="1"/>
    <row r="244" s="12" customFormat="1"/>
    <row r="245" s="12" customFormat="1"/>
    <row r="246" s="12" customFormat="1"/>
    <row r="247" s="12" customFormat="1"/>
    <row r="248" s="12" customFormat="1"/>
    <row r="249" s="12" customFormat="1"/>
    <row r="250" s="12" customFormat="1"/>
    <row r="251" s="12" customFormat="1"/>
    <row r="252" s="12" customFormat="1"/>
    <row r="253" s="12" customFormat="1"/>
    <row r="254" s="12" customFormat="1"/>
    <row r="255" s="12" customFormat="1"/>
    <row r="256" s="12" customFormat="1"/>
    <row r="257" s="12" customFormat="1"/>
    <row r="258" s="12" customFormat="1"/>
    <row r="259" s="12" customFormat="1"/>
    <row r="260" s="12" customFormat="1"/>
    <row r="261" s="12" customFormat="1"/>
    <row r="262" s="12" customFormat="1"/>
    <row r="263" s="12" customFormat="1"/>
    <row r="264" s="12" customFormat="1"/>
    <row r="265" s="12" customFormat="1"/>
    <row r="266" s="12" customFormat="1"/>
    <row r="267" s="12" customFormat="1"/>
    <row r="268" s="12" customFormat="1"/>
    <row r="269" s="12" customFormat="1"/>
    <row r="270" s="12" customFormat="1"/>
    <row r="271" s="12" customFormat="1"/>
    <row r="272" s="12" customFormat="1"/>
    <row r="273" s="12" customFormat="1"/>
    <row r="274" s="12" customFormat="1"/>
    <row r="275" s="12" customFormat="1"/>
    <row r="276" s="12" customFormat="1"/>
    <row r="277" s="12" customFormat="1"/>
    <row r="278" s="12" customFormat="1"/>
    <row r="279" s="12" customFormat="1"/>
    <row r="280" s="12" customFormat="1"/>
    <row r="281" s="12" customFormat="1"/>
    <row r="282" s="12" customFormat="1"/>
    <row r="283" s="12" customFormat="1"/>
    <row r="284" s="12" customFormat="1"/>
    <row r="285" s="12" customFormat="1"/>
    <row r="286" s="12" customFormat="1"/>
    <row r="287" s="12" customFormat="1"/>
    <row r="288" s="12" customFormat="1"/>
    <row r="289" s="12" customFormat="1"/>
    <row r="290" s="12" customFormat="1"/>
    <row r="291" s="12" customFormat="1"/>
    <row r="292" s="12" customFormat="1"/>
    <row r="293" s="12" customFormat="1"/>
    <row r="294" s="12" customFormat="1"/>
    <row r="295" s="12" customFormat="1"/>
    <row r="296" s="12" customFormat="1"/>
    <row r="297" s="12" customFormat="1"/>
    <row r="298" s="12" customFormat="1"/>
    <row r="299" s="12" customFormat="1"/>
    <row r="300" s="12" customFormat="1"/>
    <row r="301" s="12" customFormat="1"/>
    <row r="302" s="12" customFormat="1"/>
    <row r="303" s="12" customFormat="1"/>
    <row r="304" s="12" customFormat="1"/>
    <row r="305" s="12" customFormat="1"/>
    <row r="306" s="12" customFormat="1"/>
    <row r="307" s="12" customFormat="1"/>
    <row r="308" s="12" customFormat="1"/>
    <row r="309" s="12" customFormat="1"/>
    <row r="310" s="12" customFormat="1"/>
    <row r="311" s="12" customFormat="1"/>
    <row r="312" s="12" customFormat="1"/>
    <row r="313" s="12" customFormat="1"/>
    <row r="314" s="12" customFormat="1"/>
    <row r="315" s="12" customFormat="1"/>
    <row r="316" s="12" customFormat="1"/>
    <row r="317" s="12" customFormat="1"/>
    <row r="318" s="12" customFormat="1"/>
    <row r="319" s="12" customFormat="1"/>
    <row r="320" s="12" customFormat="1"/>
    <row r="321" s="12" customFormat="1"/>
    <row r="322" s="12" customFormat="1"/>
    <row r="323" s="12" customFormat="1"/>
    <row r="324" s="12" customFormat="1"/>
    <row r="325" s="12" customFormat="1"/>
    <row r="326" s="12" customFormat="1"/>
    <row r="327" s="12" customFormat="1"/>
    <row r="328" s="12" customFormat="1"/>
    <row r="329" s="12" customFormat="1"/>
    <row r="330" s="12" customFormat="1"/>
    <row r="331" s="12" customFormat="1"/>
    <row r="332" s="12" customFormat="1"/>
    <row r="333" s="12" customFormat="1"/>
    <row r="334" s="12" customFormat="1"/>
    <row r="335" s="12" customFormat="1"/>
    <row r="336" s="12" customFormat="1"/>
    <row r="337" s="12" customFormat="1"/>
    <row r="338" s="12" customFormat="1"/>
    <row r="339" s="12" customFormat="1"/>
    <row r="340" s="12" customFormat="1"/>
    <row r="341" s="12" customFormat="1"/>
    <row r="342" s="12" customFormat="1"/>
    <row r="343" s="12" customFormat="1"/>
    <row r="344" s="12" customFormat="1"/>
    <row r="345" s="12" customFormat="1"/>
    <row r="346" s="12" customFormat="1"/>
    <row r="347" s="12" customFormat="1"/>
    <row r="348" s="12" customFormat="1"/>
    <row r="349" s="12" customFormat="1"/>
    <row r="350" s="12" customFormat="1"/>
    <row r="351" s="12" customFormat="1"/>
    <row r="352" s="12" customFormat="1"/>
    <row r="353" s="12" customFormat="1"/>
    <row r="354" s="12" customFormat="1"/>
    <row r="355" s="12" customFormat="1"/>
    <row r="356" s="12" customFormat="1"/>
    <row r="357" s="12" customFormat="1"/>
    <row r="358" s="12" customFormat="1"/>
    <row r="359" s="12" customFormat="1"/>
    <row r="360" s="12" customFormat="1"/>
    <row r="361" s="12" customFormat="1"/>
    <row r="362" s="12" customFormat="1"/>
    <row r="363" s="12" customFormat="1"/>
    <row r="364" s="12" customFormat="1"/>
    <row r="365" s="12" customFormat="1"/>
    <row r="366" s="12" customFormat="1"/>
    <row r="367" s="12" customFormat="1"/>
    <row r="368" s="12" customFormat="1"/>
    <row r="369" s="12" customFormat="1"/>
    <row r="370" s="12" customFormat="1"/>
    <row r="371" s="12" customFormat="1"/>
    <row r="372" s="12" customFormat="1"/>
    <row r="373" s="12" customFormat="1"/>
    <row r="374" s="12" customFormat="1"/>
    <row r="375" s="12" customFormat="1"/>
    <row r="376" s="12" customFormat="1"/>
    <row r="377" s="12" customFormat="1"/>
    <row r="378" s="12" customFormat="1"/>
    <row r="379" s="12" customFormat="1"/>
    <row r="380" s="12" customFormat="1"/>
    <row r="381" s="12" customFormat="1"/>
    <row r="382" s="12" customFormat="1"/>
    <row r="383" s="12" customFormat="1"/>
    <row r="384" s="12" customFormat="1"/>
    <row r="385" s="12" customFormat="1"/>
    <row r="386" s="12" customFormat="1"/>
    <row r="387" s="12" customFormat="1"/>
    <row r="388" s="12" customFormat="1"/>
    <row r="389" s="12" customFormat="1"/>
    <row r="390" s="12" customFormat="1"/>
    <row r="391" s="12" customFormat="1"/>
    <row r="392" s="12" customFormat="1"/>
    <row r="393" s="12" customFormat="1"/>
  </sheetData>
  <mergeCells count="9">
    <mergeCell ref="D8:F8"/>
    <mergeCell ref="G8:P8"/>
    <mergeCell ref="J2:M4"/>
    <mergeCell ref="G15:O15"/>
    <mergeCell ref="D10:F10"/>
    <mergeCell ref="G10:O10"/>
    <mergeCell ref="G12:O12"/>
    <mergeCell ref="D14:F14"/>
    <mergeCell ref="G14:O14"/>
  </mergeCells>
  <hyperlinks>
    <hyperlink ref="G10" r:id="rId1" xr:uid="{00000000-0004-0000-0900-000000000000}"/>
    <hyperlink ref="G8" r:id="rId2" xr:uid="{00000000-0004-0000-0900-000001000000}"/>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tabColor theme="5" tint="0.59999389629810485"/>
  </sheetPr>
  <dimension ref="A1:S148"/>
  <sheetViews>
    <sheetView tabSelected="1" zoomScaleNormal="100" workbookViewId="0">
      <pane ySplit="4" topLeftCell="A5" activePane="bottomLeft" state="frozen"/>
      <selection pane="bottomLeft" activeCell="A6" sqref="A6"/>
    </sheetView>
  </sheetViews>
  <sheetFormatPr defaultColWidth="28.85546875" defaultRowHeight="12.75"/>
  <cols>
    <col min="1" max="1" width="2.85546875" style="2" customWidth="1"/>
    <col min="2" max="2" width="4.85546875" style="2" customWidth="1"/>
    <col min="3" max="3" width="18.5703125" style="2" customWidth="1"/>
    <col min="4" max="4" width="18.5703125" style="186" customWidth="1"/>
    <col min="5" max="5" width="18.5703125" style="106" customWidth="1"/>
    <col min="6" max="6" width="18.5703125" style="2" customWidth="1"/>
    <col min="7" max="7" width="18.5703125" style="186" customWidth="1"/>
    <col min="8" max="8" width="18.5703125" style="106" customWidth="1"/>
    <col min="9" max="9" width="18.5703125" style="218" customWidth="1"/>
    <col min="10" max="11" width="18.5703125" style="2" customWidth="1"/>
    <col min="12" max="13" width="16.42578125" style="2" customWidth="1"/>
    <col min="14" max="14" width="14.5703125" style="2" customWidth="1"/>
    <col min="15" max="16384" width="28.85546875" style="2"/>
  </cols>
  <sheetData>
    <row r="1" spans="1:14" ht="12.75" customHeight="1">
      <c r="A1"/>
      <c r="B1" s="218"/>
      <c r="C1" s="218"/>
      <c r="D1" s="218"/>
      <c r="E1" s="218"/>
      <c r="F1" s="218"/>
      <c r="G1" s="881" t="str">
        <f>IF('Język - Language'!$B$30="Polski",CONCATENATE("Cennik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H1" s="881"/>
      <c r="I1" s="881"/>
      <c r="J1" s="881"/>
      <c r="K1" s="881"/>
      <c r="L1" s="220"/>
      <c r="M1" s="218"/>
      <c r="N1" s="218"/>
    </row>
    <row r="2" spans="1:14" ht="12.75" customHeight="1">
      <c r="A2" s="218"/>
      <c r="B2" s="218"/>
      <c r="C2" s="220"/>
      <c r="D2" s="220"/>
      <c r="E2" s="220"/>
      <c r="F2" s="220"/>
      <c r="G2" s="881"/>
      <c r="H2" s="881"/>
      <c r="I2" s="881"/>
      <c r="J2" s="881"/>
      <c r="K2" s="881"/>
      <c r="L2" s="220"/>
      <c r="M2" s="218"/>
      <c r="N2" s="218"/>
    </row>
    <row r="3" spans="1:14" ht="12.75" customHeight="1">
      <c r="A3" s="218"/>
      <c r="B3" s="218"/>
      <c r="C3" s="220"/>
      <c r="D3" s="220"/>
      <c r="E3" s="220"/>
      <c r="F3" s="220"/>
      <c r="G3" s="881"/>
      <c r="H3" s="881"/>
      <c r="I3" s="881"/>
      <c r="J3" s="881"/>
      <c r="K3" s="881"/>
      <c r="L3" s="220"/>
      <c r="M3" s="218"/>
      <c r="N3" s="218"/>
    </row>
    <row r="4" spans="1:14" s="32" customFormat="1" ht="12.75" customHeight="1">
      <c r="A4" s="221"/>
      <c r="B4" s="33"/>
      <c r="C4" s="33" t="str">
        <f>IF('Język - Language'!$B$30="Polski","         Reklama na wielu ekranach","         Multiscreen. Cross-Device")</f>
        <v xml:space="preserve">         Reklama na wielu ekranach</v>
      </c>
      <c r="D4" s="33"/>
      <c r="E4" s="33"/>
      <c r="F4" s="221"/>
      <c r="G4" s="221"/>
      <c r="H4" s="221"/>
      <c r="I4" s="221"/>
      <c r="J4" s="221"/>
      <c r="K4" s="215" t="str">
        <f>IF('Język - Language'!$B$30="Polski","PL","EN")</f>
        <v>PL</v>
      </c>
      <c r="L4" s="221"/>
      <c r="M4" s="221"/>
      <c r="N4" s="221"/>
    </row>
    <row r="5" spans="1:14" ht="12.75" customHeight="1">
      <c r="A5" s="218"/>
      <c r="B5" s="218"/>
      <c r="C5" s="218"/>
      <c r="D5" s="218"/>
      <c r="E5" s="218"/>
      <c r="F5" s="218"/>
      <c r="G5" s="218"/>
      <c r="H5" s="218"/>
      <c r="J5" s="218"/>
      <c r="K5" s="218"/>
      <c r="L5" s="218"/>
      <c r="M5" s="218"/>
      <c r="N5" s="218"/>
    </row>
    <row r="6" spans="1:14" s="50" customFormat="1" ht="12.75" customHeight="1">
      <c r="A6" s="218"/>
      <c r="B6" s="218"/>
      <c r="C6" s="218"/>
      <c r="D6" s="218"/>
      <c r="E6" s="218"/>
      <c r="F6" s="218"/>
      <c r="G6" s="218"/>
      <c r="H6" s="218"/>
      <c r="I6" s="218"/>
      <c r="J6" s="218"/>
      <c r="K6" s="218"/>
      <c r="L6" s="218"/>
      <c r="M6" s="218"/>
      <c r="N6" s="218"/>
    </row>
    <row r="7" spans="1:14" s="49" customFormat="1" ht="12.75" customHeight="1">
      <c r="A7" s="216"/>
      <c r="B7" s="216"/>
      <c r="C7" s="981" t="str">
        <f>IF('Język - Language'!$B$30="Polski","        WP STRONA GŁÓWNA (DESKTOP)","        WP HOME PAGE (DESKTOP)")</f>
        <v xml:space="preserve">        WP STRONA GŁÓWNA (DESKTOP)</v>
      </c>
      <c r="D7" s="981"/>
      <c r="E7" s="981"/>
      <c r="F7" s="981" t="str">
        <f>IF('Język - Language'!$B$30="Polski","WP STRONA GŁÓWNA (MOBILE¹)","WP HOME PAGE (MOBILE¹)")</f>
        <v>WP STRONA GŁÓWNA (MOBILE¹)</v>
      </c>
      <c r="G7" s="981"/>
      <c r="H7" s="981"/>
      <c r="I7" s="981" t="s">
        <v>261</v>
      </c>
      <c r="J7" s="981" t="str">
        <f>IF('Język - Language'!$B$30="Polski","CENA RC","PRICE")</f>
        <v>CENA RC</v>
      </c>
      <c r="K7" s="986"/>
      <c r="L7" s="218"/>
      <c r="M7" s="218"/>
      <c r="N7" s="218"/>
    </row>
    <row r="8" spans="1:14" s="49" customFormat="1" ht="12.75" customHeight="1">
      <c r="A8"/>
      <c r="B8" s="216"/>
      <c r="C8" s="982"/>
      <c r="D8" s="982"/>
      <c r="E8" s="982"/>
      <c r="F8" s="982"/>
      <c r="G8" s="982"/>
      <c r="H8" s="982"/>
      <c r="I8" s="982"/>
      <c r="J8" s="243" t="str">
        <f>IF('Język - Language'!$B$30="Polski","styczeń-wrzesień","Jan-Sep")</f>
        <v>styczeń-wrzesień</v>
      </c>
      <c r="K8" s="188" t="str">
        <f>IF('Język - Language'!$B$30="Polski","październik-grudzień","Oct-Dec")</f>
        <v>październik-grudzień</v>
      </c>
      <c r="L8" s="216"/>
      <c r="M8" s="216"/>
      <c r="N8" s="216"/>
    </row>
    <row r="9" spans="1:14" s="218" customFormat="1" ht="25.5" customHeight="1">
      <c r="B9" s="31"/>
      <c r="C9" s="914" t="str">
        <f>IF('Język - Language'!$B$30="Polski","Commercial Break XL⁴ 1/uu na godzinę","Commercial Break XL⁴ 1/uu per hour")</f>
        <v>Commercial Break XL⁴ 1/uu na godzinę</v>
      </c>
      <c r="D9" s="915"/>
      <c r="E9" s="916"/>
      <c r="F9" s="966" t="str">
        <f>IF('Język - Language'!$B$30="Polski","Commercial Break⁴ 1/uu na godzinę","Commercial Break⁴ 1/uu per hour")</f>
        <v>Commercial Break⁴ 1/uu na godzinę</v>
      </c>
      <c r="G9" s="967"/>
      <c r="H9" s="968"/>
      <c r="I9" s="602" t="s">
        <v>277</v>
      </c>
      <c r="J9" s="264">
        <v>745000</v>
      </c>
      <c r="K9" s="263">
        <v>895000</v>
      </c>
      <c r="L9" s="216"/>
      <c r="M9" s="216"/>
      <c r="N9" s="216"/>
    </row>
    <row r="10" spans="1:14" s="218" customFormat="1" ht="25.5" customHeight="1">
      <c r="B10" s="31"/>
      <c r="C10" s="970" t="s">
        <v>230</v>
      </c>
      <c r="D10" s="971"/>
      <c r="E10" s="972"/>
      <c r="F10" s="960" t="s">
        <v>230</v>
      </c>
      <c r="G10" s="961"/>
      <c r="H10" s="962"/>
      <c r="I10" s="603" t="s">
        <v>154</v>
      </c>
      <c r="J10" s="562">
        <v>645000</v>
      </c>
      <c r="K10" s="263">
        <v>770000</v>
      </c>
      <c r="L10" s="216"/>
      <c r="M10" s="216"/>
      <c r="N10" s="216"/>
    </row>
    <row r="11" spans="1:14" s="218" customFormat="1" ht="25.5" customHeight="1">
      <c r="B11" s="31"/>
      <c r="C11" s="970" t="s">
        <v>231</v>
      </c>
      <c r="D11" s="971"/>
      <c r="E11" s="972"/>
      <c r="F11" s="960" t="s">
        <v>232</v>
      </c>
      <c r="G11" s="961"/>
      <c r="H11" s="962"/>
      <c r="I11" s="603" t="s">
        <v>154</v>
      </c>
      <c r="J11" s="562">
        <v>795000</v>
      </c>
      <c r="K11" s="263">
        <v>955000</v>
      </c>
      <c r="L11" s="216"/>
      <c r="M11" s="216"/>
      <c r="N11" s="216"/>
    </row>
    <row r="12" spans="1:14" s="49" customFormat="1" ht="25.5" customHeight="1">
      <c r="A12" s="218"/>
      <c r="B12" s="987" t="str">
        <f>IF('Język - Language'!$B$30="Polski","Górny slot (1-sza dniówka: 3 pierwsze odsłony)","Upper slot 3/uu")</f>
        <v>Górny slot (1-sza dniówka: 3 pierwsze odsłony)</v>
      </c>
      <c r="C12" s="911" t="str">
        <f>IF('Język - Language'!$B$30="Polski","Double Billboard lub Wideboard 3/uu","Double Billboard or Wideboard 3/uu")</f>
        <v>Double Billboard lub Wideboard 3/uu</v>
      </c>
      <c r="D12" s="912"/>
      <c r="E12" s="913"/>
      <c r="F12" s="966" t="str">
        <f>IF('Język - Language'!$B$30="Polski","Banner skalowalny 3/uu","Adjusted Banner 3/uu")</f>
        <v>Banner skalowalny 3/uu</v>
      </c>
      <c r="G12" s="967"/>
      <c r="H12" s="968"/>
      <c r="I12" s="591" t="s">
        <v>218</v>
      </c>
      <c r="J12" s="245">
        <v>650000</v>
      </c>
      <c r="K12" s="263">
        <v>780000</v>
      </c>
      <c r="L12" s="216"/>
      <c r="M12" s="216"/>
      <c r="N12" s="216"/>
    </row>
    <row r="13" spans="1:14" s="218" customFormat="1" ht="25.5" customHeight="1">
      <c r="B13" s="987"/>
      <c r="C13" s="911" t="s">
        <v>260</v>
      </c>
      <c r="D13" s="912"/>
      <c r="E13" s="913"/>
      <c r="F13" s="966" t="str">
        <f>IF('Język - Language'!$B$30="Polski","Rectangle/Banner skalowalny XL 1/uu + Banner skalowalny 2/uu","Rectangle/Adjusted Banner XL 1/uu + Adjusted Banner 2/uu")</f>
        <v>Rectangle/Banner skalowalny XL 1/uu + Banner skalowalny 2/uu</v>
      </c>
      <c r="G13" s="967"/>
      <c r="H13" s="968"/>
      <c r="I13" s="591" t="s">
        <v>218</v>
      </c>
      <c r="J13" s="594">
        <v>750000</v>
      </c>
      <c r="K13" s="263">
        <v>900000</v>
      </c>
      <c r="L13" s="216"/>
      <c r="M13" s="216"/>
      <c r="N13" s="216"/>
    </row>
    <row r="14" spans="1:14" s="96" customFormat="1" ht="25.5" customHeight="1">
      <c r="A14" s="218"/>
      <c r="B14" s="987"/>
      <c r="C14" s="911" t="str">
        <f>IF('Język - Language'!$B$30="Polski","Gigaboard 1/uu + DBB/Wideboard 2/uu","Gigaboard 1/uu + DBB/Wideboard 2/uu")</f>
        <v>Gigaboard 1/uu + DBB/Wideboard 2/uu</v>
      </c>
      <c r="D14" s="912"/>
      <c r="E14" s="913"/>
      <c r="F14" s="966" t="str">
        <f>IF('Język - Language'!$B$30="Polski","Rectangle/Banner skalowalny XL 1/uu + Banner skalowalny 2/uu","Rectangle/Adjusted Banner XL 1/uu + Adjusted Banner 2/uu")</f>
        <v>Rectangle/Banner skalowalny XL 1/uu + Banner skalowalny 2/uu</v>
      </c>
      <c r="G14" s="967"/>
      <c r="H14" s="968"/>
      <c r="I14" s="591" t="s">
        <v>218</v>
      </c>
      <c r="J14" s="245">
        <v>850000</v>
      </c>
      <c r="K14" s="263">
        <v>1020000</v>
      </c>
      <c r="L14" s="216"/>
      <c r="M14" s="216"/>
      <c r="N14" s="216"/>
    </row>
    <row r="15" spans="1:14" s="218" customFormat="1" ht="25.5" customHeight="1">
      <c r="B15" s="987"/>
      <c r="C15" s="911" t="s">
        <v>312</v>
      </c>
      <c r="D15" s="912"/>
      <c r="E15" s="913"/>
      <c r="F15" s="966" t="s">
        <v>312</v>
      </c>
      <c r="G15" s="967"/>
      <c r="H15" s="968"/>
      <c r="I15" s="601" t="s">
        <v>218</v>
      </c>
      <c r="J15" s="675">
        <v>860000</v>
      </c>
      <c r="K15" s="674">
        <v>1025000</v>
      </c>
      <c r="L15" s="216"/>
      <c r="M15" s="216"/>
      <c r="N15" s="216"/>
    </row>
    <row r="16" spans="1:14" s="83" customFormat="1" ht="25.5" customHeight="1">
      <c r="A16" s="218"/>
      <c r="B16" s="987"/>
      <c r="C16" s="911" t="str">
        <f>IF('Język - Language'!$B$30="Polski","Welcome Screen XL⁴ 1/uu + DBB/Wideboard 2/uu","Welcome Screen XL 1/uu + DBB/Wideboard 2/uu")</f>
        <v>Welcome Screen XL⁴ 1/uu + DBB/Wideboard 2/uu</v>
      </c>
      <c r="D16" s="912"/>
      <c r="E16" s="913"/>
      <c r="F16" s="911" t="str">
        <f>IF('Język - Language'!$B$30="Polski","Rectangle/Banner skalowalny XL 1/uu + Banner skalowalny 2/uu","Rectangle/Adjusted Banner XL 1/uu + Adjusted Banner 2/uu")</f>
        <v>Rectangle/Banner skalowalny XL 1/uu + Banner skalowalny 2/uu</v>
      </c>
      <c r="G16" s="912"/>
      <c r="H16" s="913"/>
      <c r="I16" s="590" t="s">
        <v>218</v>
      </c>
      <c r="J16" s="571">
        <v>890000</v>
      </c>
      <c r="K16" s="263">
        <v>1075000</v>
      </c>
      <c r="L16" s="216"/>
      <c r="M16" s="216"/>
      <c r="N16" s="216"/>
    </row>
    <row r="17" spans="1:14" s="100" customFormat="1" ht="25.5" customHeight="1">
      <c r="B17" s="988"/>
      <c r="C17" s="983" t="str">
        <f>IF('Język - Language'!$B$30="Polski",CONCATENATE("Dodatkowe warianty (np. Megaformat lub Video w kreacji) dla w/w formatów w zakładce ",CHAR(34),"Dopłaty i uwagi dodatkowe",CHAR(34),"."),"Further options (e.g. Mega Ad Format or Vdeo within any ad format) for the above mentioned formats")</f>
        <v>Dodatkowe warianty (np. Megaformat lub Video w kreacji) dla w/w formatów w zakładce "Dopłaty i uwagi dodatkowe".</v>
      </c>
      <c r="D17" s="984"/>
      <c r="E17" s="984"/>
      <c r="F17" s="984"/>
      <c r="G17" s="984"/>
      <c r="H17" s="984"/>
      <c r="I17" s="984"/>
      <c r="J17" s="984"/>
      <c r="K17" s="985"/>
      <c r="L17" s="216"/>
      <c r="M17" s="216"/>
      <c r="N17" s="216"/>
    </row>
    <row r="18" spans="1:14" s="724" customFormat="1" ht="25.5" customHeight="1">
      <c r="A18" s="725"/>
      <c r="B18" s="989" t="str">
        <f>IF('Język - Language'!$B$30="Polski","Druga dniówka (od 4. odsłony)","Upper slot (FF after 3rd page view)")</f>
        <v>Druga dniówka (od 4. odsłony)</v>
      </c>
      <c r="C18" s="978" t="str">
        <f>IF('Język - Language'!$B$30="Polski","Double Billboard lub Wideboard FF","Double Billboard or Wideboard FF")</f>
        <v>Double Billboard lub Wideboard FF</v>
      </c>
      <c r="D18" s="978"/>
      <c r="E18" s="978"/>
      <c r="F18" s="978" t="str">
        <f>IF('Język - Language'!$B$30="Polski","Rectangle/Banner skalowalny FF","Rectangle/Adjusted Banner FF")</f>
        <v>Rectangle/Banner skalowalny FF</v>
      </c>
      <c r="G18" s="978"/>
      <c r="H18" s="978"/>
      <c r="I18" s="576" t="s">
        <v>304</v>
      </c>
      <c r="J18" s="694">
        <v>320000</v>
      </c>
      <c r="K18" s="732">
        <v>380000</v>
      </c>
      <c r="L18" s="725"/>
      <c r="M18" s="725"/>
      <c r="N18" s="725"/>
    </row>
    <row r="19" spans="1:14" s="724" customFormat="1" ht="25.5" customHeight="1">
      <c r="A19" s="725"/>
      <c r="B19" s="990"/>
      <c r="C19" s="978" t="s">
        <v>262</v>
      </c>
      <c r="D19" s="978"/>
      <c r="E19" s="978"/>
      <c r="F19" s="978" t="str">
        <f>IF('Język - Language'!$B$30="Polski","Rectangle/Banner skalowalny XL 1/uu + Banner skalowalny FF","Rectangle/Adjusted Banner XL 1/uu + Adjusted Banner FF")</f>
        <v>Rectangle/Banner skalowalny XL 1/uu + Banner skalowalny FF</v>
      </c>
      <c r="G19" s="978"/>
      <c r="H19" s="978"/>
      <c r="I19" s="576" t="s">
        <v>304</v>
      </c>
      <c r="J19" s="764">
        <v>370000</v>
      </c>
      <c r="K19" s="765">
        <v>445000</v>
      </c>
      <c r="L19" s="725"/>
      <c r="M19" s="725"/>
      <c r="N19" s="725"/>
    </row>
    <row r="20" spans="1:14" s="724" customFormat="1" ht="25.5" customHeight="1">
      <c r="A20" s="725"/>
      <c r="B20" s="990"/>
      <c r="C20" s="978" t="s">
        <v>305</v>
      </c>
      <c r="D20" s="978"/>
      <c r="E20" s="978"/>
      <c r="F20" s="978" t="str">
        <f>IF('Język - Language'!$B$30="Polski","Rectangle/Banner skalowalny XL 1/uu + Banner skalowalny FF","Rectangle/Adjusted Banner XL 1/uu + Adjusted Banner FF")</f>
        <v>Rectangle/Banner skalowalny XL 1/uu + Banner skalowalny FF</v>
      </c>
      <c r="G20" s="978"/>
      <c r="H20" s="978"/>
      <c r="I20" s="576" t="s">
        <v>304</v>
      </c>
      <c r="J20" s="694">
        <v>450000</v>
      </c>
      <c r="K20" s="732">
        <v>540000</v>
      </c>
      <c r="L20" s="725"/>
      <c r="M20" s="725"/>
      <c r="N20" s="725"/>
    </row>
    <row r="21" spans="1:14" s="724" customFormat="1" ht="25.5" customHeight="1">
      <c r="A21" s="725"/>
      <c r="B21" s="990"/>
      <c r="C21" s="911" t="s">
        <v>312</v>
      </c>
      <c r="D21" s="912"/>
      <c r="E21" s="913"/>
      <c r="F21" s="966" t="s">
        <v>312</v>
      </c>
      <c r="G21" s="967"/>
      <c r="H21" s="968"/>
      <c r="I21" s="600" t="s">
        <v>304</v>
      </c>
      <c r="J21" s="761">
        <v>425000</v>
      </c>
      <c r="K21" s="732">
        <v>510000</v>
      </c>
      <c r="L21" s="725"/>
      <c r="M21" s="725"/>
      <c r="N21" s="725"/>
    </row>
    <row r="22" spans="1:14" s="724" customFormat="1" ht="25.5" customHeight="1">
      <c r="A22" s="725"/>
      <c r="B22" s="990"/>
      <c r="C22" s="978" t="s">
        <v>306</v>
      </c>
      <c r="D22" s="978"/>
      <c r="E22" s="978"/>
      <c r="F22" s="978" t="str">
        <f>IF('Język - Language'!$B$30="Polski","Rectangle/Banner skalowalny XL 1/uu + Banner skalowalny FF","Rectangle/Adjusted Banner XL 1/uu + Adjusted Banner FF")</f>
        <v>Rectangle/Banner skalowalny XL 1/uu + Banner skalowalny FF</v>
      </c>
      <c r="G22" s="978"/>
      <c r="H22" s="978"/>
      <c r="I22" s="576" t="s">
        <v>304</v>
      </c>
      <c r="J22" s="761">
        <v>470000</v>
      </c>
      <c r="K22" s="728">
        <v>560000</v>
      </c>
      <c r="L22" s="725"/>
      <c r="M22" s="725"/>
      <c r="N22" s="725"/>
    </row>
    <row r="23" spans="1:14" s="724" customFormat="1" ht="25.5" customHeight="1">
      <c r="A23" s="725"/>
      <c r="B23" s="991"/>
      <c r="C23" s="995" t="str">
        <f>IF('Język - Language'!$B$30="Polski",CONCATENATE("Dodatkowe warianty (np. Megaformat lub Video w kreacji) dla w/w formatów w zakładce ",CHAR(34),"Dopłaty i uwagi dodatkowe",CHAR(34),"."),"Further options (e.g. Mega Ad Format or Vdeo within any ad format) for the above mentioned formats")</f>
        <v>Dodatkowe warianty (np. Megaformat lub Video w kreacji) dla w/w formatów w zakładce "Dopłaty i uwagi dodatkowe".</v>
      </c>
      <c r="D23" s="996"/>
      <c r="E23" s="996"/>
      <c r="F23" s="996"/>
      <c r="G23" s="996"/>
      <c r="H23" s="996"/>
      <c r="I23" s="996"/>
      <c r="J23" s="996"/>
      <c r="K23" s="997"/>
      <c r="L23" s="725"/>
      <c r="M23" s="725"/>
      <c r="N23" s="725"/>
    </row>
    <row r="24" spans="1:14" s="96" customFormat="1" ht="25.5" customHeight="1">
      <c r="B24" s="992" t="s">
        <v>308</v>
      </c>
      <c r="C24" s="978" t="str">
        <f>IF('Język - Language'!$B$30="Polski","Double Billboard lub Wideboard FF","Double Billboard or Wideboard FF")</f>
        <v>Double Billboard lub Wideboard FF</v>
      </c>
      <c r="D24" s="978"/>
      <c r="E24" s="978"/>
      <c r="F24" s="978" t="str">
        <f>IF('Język - Language'!$B$30="Polski","Rectangle/Banner skalowalny FF","Rectangle/Adjusted Banner FF")</f>
        <v>Rectangle/Banner skalowalny FF</v>
      </c>
      <c r="G24" s="978"/>
      <c r="H24" s="978"/>
      <c r="I24" s="576" t="s">
        <v>154</v>
      </c>
      <c r="J24" s="571">
        <v>400000</v>
      </c>
      <c r="K24" s="732">
        <v>480000</v>
      </c>
      <c r="L24" s="734"/>
      <c r="M24" s="734"/>
      <c r="N24" s="216"/>
    </row>
    <row r="25" spans="1:14" s="218" customFormat="1" ht="25.5" customHeight="1">
      <c r="B25" s="993"/>
      <c r="C25" s="978" t="s">
        <v>262</v>
      </c>
      <c r="D25" s="978"/>
      <c r="E25" s="978"/>
      <c r="F25" s="978" t="str">
        <f>IF('Język - Language'!$B$30="Polski","Rectangle/Banner skalowalny XL 1/uu + Banner skalowalny FF","Rectangle/Adjusted Banner XL 1/uu + Adjusted Banner FF")</f>
        <v>Rectangle/Banner skalowalny XL 1/uu + Banner skalowalny FF</v>
      </c>
      <c r="G25" s="978"/>
      <c r="H25" s="978"/>
      <c r="I25" s="576" t="s">
        <v>154</v>
      </c>
      <c r="J25" s="571">
        <v>460000</v>
      </c>
      <c r="K25" s="732">
        <v>555000</v>
      </c>
      <c r="L25" s="734"/>
      <c r="M25" s="734"/>
      <c r="N25" s="216"/>
    </row>
    <row r="26" spans="1:14" s="96" customFormat="1" ht="25.5" customHeight="1">
      <c r="B26" s="993"/>
      <c r="C26" s="978" t="s">
        <v>305</v>
      </c>
      <c r="D26" s="978"/>
      <c r="E26" s="978"/>
      <c r="F26" s="978" t="str">
        <f>IF('Język - Language'!$B$30="Polski","Rectangle/Banner skalowalny XL 1/uu + Banner skalowalny FF","Rectangle/Adjusted Banner XL 1/uu + Adjusted Banner FF")</f>
        <v>Rectangle/Banner skalowalny XL 1/uu + Banner skalowalny FF</v>
      </c>
      <c r="G26" s="978"/>
      <c r="H26" s="978"/>
      <c r="I26" s="576" t="s">
        <v>154</v>
      </c>
      <c r="J26" s="571">
        <v>565000</v>
      </c>
      <c r="K26" s="732">
        <v>680000</v>
      </c>
      <c r="L26" s="734"/>
      <c r="M26" s="734"/>
      <c r="N26" s="216"/>
    </row>
    <row r="27" spans="1:14" s="724" customFormat="1" ht="25.5" customHeight="1">
      <c r="B27" s="993"/>
      <c r="C27" s="911" t="s">
        <v>312</v>
      </c>
      <c r="D27" s="912"/>
      <c r="E27" s="913"/>
      <c r="F27" s="966" t="s">
        <v>312</v>
      </c>
      <c r="G27" s="967"/>
      <c r="H27" s="968"/>
      <c r="I27" s="576" t="s">
        <v>154</v>
      </c>
      <c r="J27" s="571">
        <v>530000</v>
      </c>
      <c r="K27" s="732">
        <v>690000</v>
      </c>
      <c r="L27" s="743"/>
      <c r="M27" s="743"/>
      <c r="N27" s="725"/>
    </row>
    <row r="28" spans="1:14" s="83" customFormat="1" ht="25.5" customHeight="1">
      <c r="B28" s="993"/>
      <c r="C28" s="978" t="str">
        <f>IF('Język - Language'!$B$30="Polski","Welcome Screen XL⁴ 1/uu + DBB lub Wideboard FF","Welcome Screen XL 1/uu + DBB lub Wideboard FF")</f>
        <v>Welcome Screen XL⁴ 1/uu + DBB lub Wideboard FF</v>
      </c>
      <c r="D28" s="978"/>
      <c r="E28" s="978"/>
      <c r="F28" s="978" t="str">
        <f>IF('Język - Language'!$B$30="Polski","Rectangle/Banner skalowalny XL 1/uu + Banner skalowalny FF","Rectangle/Adjusted Banner XL 1/uu + Adjusted Banner FF")</f>
        <v>Rectangle/Banner skalowalny XL 1/uu + Banner skalowalny FF</v>
      </c>
      <c r="G28" s="978"/>
      <c r="H28" s="978"/>
      <c r="I28" s="576" t="s">
        <v>154</v>
      </c>
      <c r="J28" s="571">
        <v>590000</v>
      </c>
      <c r="K28" s="732">
        <v>710000</v>
      </c>
      <c r="L28" s="734"/>
      <c r="M28" s="734"/>
      <c r="N28" s="216"/>
    </row>
    <row r="29" spans="1:14" s="49" customFormat="1" ht="25.5" customHeight="1">
      <c r="B29" s="994"/>
      <c r="C29" s="973" t="str">
        <f>IF('Język - Language'!$B$30="Polski",CONCATENATE("Dodatkowe warianty (np. Megaformat lub Video w kreacji) dla w/w formatów w zakładce ",CHAR(34),"Dopłaty i uwagi dodatkowe",CHAR(34),"."),"Further options (e.g. Mega Ad Format or Vdeo within any ad format) for the above mentioned formats")</f>
        <v>Dodatkowe warianty (np. Megaformat lub Video w kreacji) dla w/w formatów w zakładce "Dopłaty i uwagi dodatkowe".</v>
      </c>
      <c r="D29" s="973"/>
      <c r="E29" s="973"/>
      <c r="F29" s="973"/>
      <c r="G29" s="973"/>
      <c r="H29" s="973"/>
      <c r="I29" s="973"/>
      <c r="J29" s="973"/>
      <c r="K29" s="973"/>
      <c r="L29" s="725"/>
      <c r="M29" s="725"/>
      <c r="N29" s="216"/>
    </row>
    <row r="30" spans="1:14" s="49" customFormat="1" ht="25.5" customHeight="1">
      <c r="B30" s="946" t="str">
        <f>IF('Język - Language'!$B$30="Polski","Boksy w modułach tematycznych","Boxes in thematic category")</f>
        <v>Boksy w modułach tematycznych</v>
      </c>
      <c r="C30" s="953" t="s">
        <v>327</v>
      </c>
      <c r="D30" s="954"/>
      <c r="E30" s="955"/>
      <c r="F30" s="963" t="s">
        <v>328</v>
      </c>
      <c r="G30" s="964"/>
      <c r="H30" s="965"/>
      <c r="I30" s="731" t="s">
        <v>154</v>
      </c>
      <c r="J30" s="730">
        <v>275000</v>
      </c>
      <c r="K30" s="728">
        <v>330000</v>
      </c>
      <c r="L30" s="216"/>
      <c r="M30" s="216"/>
      <c r="N30" s="216"/>
    </row>
    <row r="31" spans="1:14" s="218" customFormat="1" ht="25.5" customHeight="1">
      <c r="B31" s="947"/>
      <c r="C31" s="929"/>
      <c r="D31" s="956"/>
      <c r="E31" s="930"/>
      <c r="F31" s="970" t="s">
        <v>329</v>
      </c>
      <c r="G31" s="971"/>
      <c r="H31" s="972"/>
      <c r="I31" s="600" t="s">
        <v>154</v>
      </c>
      <c r="J31" s="303">
        <v>260000</v>
      </c>
      <c r="K31" s="325">
        <v>310000</v>
      </c>
      <c r="L31" s="216"/>
      <c r="M31" s="216"/>
      <c r="N31" s="216"/>
    </row>
    <row r="32" spans="1:14" s="218" customFormat="1" ht="25.5" customHeight="1">
      <c r="B32" s="947"/>
      <c r="C32" s="911" t="str">
        <f>IF('Język - Language'!$B$30="Polski","Content Box XL (nad modułem Sport) FF","Content Box XL (above the category Sport) FF")</f>
        <v>Content Box XL (nad modułem Sport) FF</v>
      </c>
      <c r="D32" s="912"/>
      <c r="E32" s="913"/>
      <c r="F32" s="970" t="str">
        <f>IF('Język - Language'!$B$30="Polski","Content Box XL (Rectangle/Banner skalowany XL) w module Sport FF","Content Box XL (Rectangle/Adjusted Banner XL) above the category Sport FF")</f>
        <v>Content Box XL (Rectangle/Banner skalowany XL) w module Sport FF</v>
      </c>
      <c r="G32" s="971"/>
      <c r="H32" s="972"/>
      <c r="I32" s="600" t="s">
        <v>154</v>
      </c>
      <c r="J32" s="302">
        <v>420000</v>
      </c>
      <c r="K32" s="325">
        <v>505000</v>
      </c>
      <c r="L32" s="216"/>
      <c r="M32" s="216"/>
      <c r="N32" s="216"/>
    </row>
    <row r="33" spans="2:14" s="49" customFormat="1" ht="25.5" customHeight="1">
      <c r="B33" s="947"/>
      <c r="C33" s="911" t="str">
        <f>IF('Język - Language'!$B$30="Polski","Content Box nad modułem Biznes FF²","Content Box above the category Business FF²")</f>
        <v>Content Box nad modułem Biznes FF²</v>
      </c>
      <c r="D33" s="912"/>
      <c r="E33" s="913"/>
      <c r="F33" s="960" t="str">
        <f>IF('Język - Language'!$B$30="Polski","Content Box (Banner/Banner skalowany) w module Biznes FF","Content Box (Banner/adjusted banner) above the category Business FF")</f>
        <v>Content Box (Banner/Banner skalowany) w module Biznes FF</v>
      </c>
      <c r="G33" s="961"/>
      <c r="H33" s="962"/>
      <c r="I33" s="600" t="s">
        <v>154</v>
      </c>
      <c r="J33" s="245">
        <v>295000</v>
      </c>
      <c r="K33" s="325">
        <v>350000</v>
      </c>
      <c r="L33" s="216"/>
      <c r="M33" s="216"/>
      <c r="N33" s="216"/>
    </row>
    <row r="34" spans="2:14" s="49" customFormat="1" ht="25.5" customHeight="1">
      <c r="B34" s="947"/>
      <c r="C34" s="911" t="str">
        <f>IF('Język - Language'!$B$30="Polski","Content Box nad modułem Gwiazdy FF²","Content Box above the category Stars FF²")</f>
        <v>Content Box nad modułem Gwiazdy FF²</v>
      </c>
      <c r="D34" s="912"/>
      <c r="E34" s="913"/>
      <c r="F34" s="960" t="str">
        <f>IF('Język - Language'!$B$30="Polski","Content Box (Banner/Banner skalowany) nad modułem Gwiazdy FF","Content Box (Banner/adjusted banner) above the category Stars FF")</f>
        <v>Content Box (Banner/Banner skalowany) nad modułem Gwiazdy FF</v>
      </c>
      <c r="G34" s="961"/>
      <c r="H34" s="962"/>
      <c r="I34" s="600" t="s">
        <v>154</v>
      </c>
      <c r="J34" s="245">
        <v>185000</v>
      </c>
      <c r="K34" s="325">
        <v>225000</v>
      </c>
      <c r="L34" s="216"/>
      <c r="M34" s="216"/>
      <c r="N34" s="216"/>
    </row>
    <row r="35" spans="2:14" s="49" customFormat="1" ht="25.5" customHeight="1">
      <c r="B35" s="947"/>
      <c r="C35" s="911" t="str">
        <f>IF('Język - Language'!$B$30="Polski","Content Box nad modułem Moto&amp;Tech&amp;Gry FF²","Content Box above the category Moto&amp;Tech FF²")</f>
        <v>Content Box nad modułem Moto&amp;Tech&amp;Gry FF²</v>
      </c>
      <c r="D35" s="912"/>
      <c r="E35" s="913"/>
      <c r="F35" s="960" t="str">
        <f>IF('Język - Language'!$B$30="Polski","Content Box (Banner/Banner skalowany) nad modułem Moto&amp;Tech FF","Content Box (Banner/adjusted banner) above the category Moto&amp;Tech FF")</f>
        <v>Content Box (Banner/Banner skalowany) nad modułem Moto&amp;Tech FF</v>
      </c>
      <c r="G35" s="961"/>
      <c r="H35" s="962"/>
      <c r="I35" s="600" t="s">
        <v>154</v>
      </c>
      <c r="J35" s="245">
        <v>160000</v>
      </c>
      <c r="K35" s="325">
        <v>190000</v>
      </c>
      <c r="L35" s="216"/>
      <c r="M35" s="216"/>
      <c r="N35" s="216"/>
    </row>
    <row r="36" spans="2:14" s="49" customFormat="1" ht="25.5" customHeight="1">
      <c r="B36" s="948"/>
      <c r="C36" s="911" t="str">
        <f>IF('Język - Language'!$B$30="Polski","Content Box nad modułem Styl Życia FF²","Content Box above the category Lifestyle FF²")</f>
        <v>Content Box nad modułem Styl Życia FF²</v>
      </c>
      <c r="D36" s="912"/>
      <c r="E36" s="913"/>
      <c r="F36" s="960" t="str">
        <f>IF('Język - Language'!$B$30="Polski","Content Box (Banner/Banner skalowany) nad modułem Styl Życia FF","Content Box (Banner/adjusted banner) above the category Lifestyle FF")</f>
        <v>Content Box (Banner/Banner skalowany) nad modułem Styl Życia FF</v>
      </c>
      <c r="G36" s="961"/>
      <c r="H36" s="962"/>
      <c r="I36" s="600" t="s">
        <v>154</v>
      </c>
      <c r="J36" s="584">
        <v>130000</v>
      </c>
      <c r="K36" s="325">
        <v>155000</v>
      </c>
      <c r="L36" s="216"/>
      <c r="M36" s="216"/>
      <c r="N36" s="216"/>
    </row>
    <row r="37" spans="2:14" s="218" customFormat="1" ht="25.5" customHeight="1">
      <c r="B37" s="950" t="s">
        <v>257</v>
      </c>
      <c r="C37" s="911" t="s">
        <v>320</v>
      </c>
      <c r="D37" s="912"/>
      <c r="E37" s="913"/>
      <c r="F37" s="966" t="s">
        <v>319</v>
      </c>
      <c r="G37" s="967"/>
      <c r="H37" s="968"/>
      <c r="I37" s="600" t="s">
        <v>154</v>
      </c>
      <c r="J37" s="587">
        <v>140000</v>
      </c>
      <c r="K37" s="325">
        <v>165000</v>
      </c>
      <c r="L37" s="216"/>
      <c r="M37" s="216"/>
      <c r="N37" s="216"/>
    </row>
    <row r="38" spans="2:14" s="218" customFormat="1" ht="25.5" customHeight="1">
      <c r="B38" s="950"/>
      <c r="C38" s="1008" t="s">
        <v>321</v>
      </c>
      <c r="D38" s="1009"/>
      <c r="E38" s="1010"/>
      <c r="F38" s="957" t="s">
        <v>322</v>
      </c>
      <c r="G38" s="958"/>
      <c r="H38" s="959"/>
      <c r="I38" s="486" t="s">
        <v>154</v>
      </c>
      <c r="J38" s="585">
        <v>130000</v>
      </c>
      <c r="K38" s="586">
        <v>155000</v>
      </c>
      <c r="L38" s="216"/>
      <c r="M38" s="216"/>
      <c r="N38" s="216"/>
    </row>
    <row r="39" spans="2:14" s="127" customFormat="1" ht="12.75" customHeight="1">
      <c r="B39" s="269"/>
      <c r="C39" s="131"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D39" s="131"/>
      <c r="E39" s="132"/>
      <c r="F39" s="133"/>
      <c r="G39" s="133"/>
      <c r="H39" s="133"/>
      <c r="I39" s="133"/>
      <c r="J39" s="134"/>
      <c r="K39" s="268"/>
      <c r="L39" s="216"/>
      <c r="M39" s="216"/>
      <c r="N39" s="216"/>
    </row>
    <row r="40" spans="2:14" s="218" customFormat="1" ht="12.75" customHeight="1">
      <c r="B40" s="128"/>
      <c r="C40" s="135" t="str">
        <f>IF('Język - Language'!$B$30="Polski","² Content Box XL +50%","² Content Box XL +50%")</f>
        <v>² Content Box XL +50%</v>
      </c>
      <c r="D40" s="131"/>
      <c r="E40" s="132"/>
      <c r="F40" s="133"/>
      <c r="G40" s="133"/>
      <c r="H40" s="133"/>
      <c r="I40" s="133"/>
      <c r="J40" s="134"/>
      <c r="K40" s="268"/>
      <c r="L40" s="216"/>
      <c r="M40" s="216"/>
      <c r="N40" s="216"/>
    </row>
    <row r="41" spans="2:14" s="218" customFormat="1" ht="12.75" customHeight="1">
      <c r="B41" s="512"/>
      <c r="C41" s="579" t="str">
        <f>IF('Język - Language'!$B$30="Polski","³ Scroll Panel Premium na desktop: +20% do ceny w pakiecie; na mobile brak scrolla","³ Scroll Panel Premium for desktop: + 20% to the package price; no scroll on the mobile")</f>
        <v>³ Scroll Panel Premium na desktop: +20% do ceny w pakiecie; na mobile brak scrolla</v>
      </c>
      <c r="D41" s="131"/>
      <c r="E41" s="132"/>
      <c r="F41" s="133"/>
      <c r="G41" s="133"/>
      <c r="H41" s="133"/>
      <c r="I41" s="133"/>
      <c r="J41" s="134"/>
      <c r="K41" s="268"/>
      <c r="L41" s="216"/>
      <c r="M41" s="216"/>
      <c r="N41" s="216"/>
    </row>
    <row r="42" spans="2:14" s="218" customFormat="1" ht="12.75" customHeight="1">
      <c r="B42" s="512"/>
      <c r="C42" s="579" t="str">
        <f>IF('Język - Language'!$B$30="Polski","⁴ dopłata do opcji Full Page wynosi 25%","⁴ surcharge for the Full Page option is 25%")</f>
        <v>⁴ dopłata do opcji Full Page wynosi 25%</v>
      </c>
      <c r="D42" s="131"/>
      <c r="E42" s="132"/>
      <c r="F42" s="133"/>
      <c r="G42" s="133"/>
      <c r="H42" s="133"/>
      <c r="I42" s="133"/>
      <c r="J42" s="134"/>
      <c r="K42" s="134"/>
      <c r="L42" s="216"/>
      <c r="M42" s="216"/>
      <c r="N42" s="216"/>
    </row>
    <row r="43" spans="2:14" s="49" customFormat="1" ht="12.75" customHeight="1">
      <c r="B43" s="218"/>
      <c r="C43" s="218"/>
      <c r="D43" s="156"/>
      <c r="E43" s="513"/>
      <c r="F43" s="231"/>
      <c r="G43" s="231"/>
      <c r="H43" s="231"/>
      <c r="I43" s="231"/>
      <c r="J43" s="231"/>
      <c r="K43" s="416"/>
      <c r="L43" s="218"/>
      <c r="M43" s="218"/>
      <c r="N43" s="218"/>
    </row>
    <row r="44" spans="2:14" s="83" customFormat="1" ht="12.75" customHeight="1">
      <c r="B44" s="218"/>
      <c r="C44" s="218"/>
      <c r="D44" s="218"/>
      <c r="E44" s="218"/>
      <c r="F44" s="218"/>
      <c r="G44" s="218"/>
      <c r="H44" s="218"/>
      <c r="I44" s="218"/>
      <c r="J44" s="218"/>
      <c r="K44" s="218"/>
      <c r="L44" s="218"/>
      <c r="M44" s="218"/>
      <c r="N44" s="218"/>
    </row>
    <row r="45" spans="2:14" s="49" customFormat="1" ht="12.75" customHeight="1">
      <c r="B45" s="218"/>
      <c r="C45" s="218"/>
      <c r="D45" s="218"/>
      <c r="E45" s="218"/>
      <c r="F45" s="218"/>
      <c r="G45" s="218"/>
      <c r="H45" s="218"/>
      <c r="I45" s="218"/>
      <c r="J45" s="218"/>
      <c r="K45" s="218"/>
      <c r="L45" s="218"/>
      <c r="M45" s="218"/>
      <c r="N45" s="218"/>
    </row>
    <row r="46" spans="2:14" s="49" customFormat="1" ht="12.75" customHeight="1">
      <c r="B46" s="218"/>
      <c r="C46" s="951" t="str">
        <f>IF('Język - Language'!$B$30="Polski","O2: STRONA GŁÓWNA + ROS (DESKTOP)","O2: HOME PAGE + ROS (DESKTOP)")</f>
        <v>O2: STRONA GŁÓWNA + ROS (DESKTOP)</v>
      </c>
      <c r="D46" s="951"/>
      <c r="E46" s="951"/>
      <c r="F46" s="951" t="str">
        <f>IF('Język - Language'!$B$30="Polski","O2: STRONA GŁÓWNA + ROS (MOBILE)¹","O2 HOME PAGE + ROS (MOBILE)¹")</f>
        <v>O2: STRONA GŁÓWNA + ROS (MOBILE)¹</v>
      </c>
      <c r="G46" s="951"/>
      <c r="H46" s="951"/>
      <c r="I46" s="951" t="s">
        <v>261</v>
      </c>
      <c r="J46" s="951" t="str">
        <f>IF('Język - Language'!$B$30="Polski","CENA RC","PRICE")</f>
        <v>CENA RC</v>
      </c>
      <c r="K46" s="979"/>
      <c r="L46" s="218"/>
      <c r="M46" s="218"/>
      <c r="N46" s="218"/>
    </row>
    <row r="47" spans="2:14" s="49" customFormat="1" ht="12.75" customHeight="1">
      <c r="B47" s="218"/>
      <c r="C47" s="952"/>
      <c r="D47" s="952"/>
      <c r="E47" s="952"/>
      <c r="F47" s="952"/>
      <c r="G47" s="952"/>
      <c r="H47" s="952"/>
      <c r="I47" s="952"/>
      <c r="J47" s="583" t="str">
        <f>IF('Język - Language'!$B$30="Polski","styczeń-wrzesień","Jan-Sep")</f>
        <v>styczeń-wrzesień</v>
      </c>
      <c r="K47" s="597" t="str">
        <f>IF('Język - Language'!$B$30="Polski","październik-grudzień","Oct-Dec")</f>
        <v>październik-grudzień</v>
      </c>
      <c r="L47" s="218"/>
      <c r="M47" s="218"/>
      <c r="N47" s="218"/>
    </row>
    <row r="48" spans="2:14" s="218" customFormat="1" ht="25.5" customHeight="1">
      <c r="B48" s="609"/>
      <c r="C48" s="900" t="s">
        <v>316</v>
      </c>
      <c r="D48" s="901"/>
      <c r="E48" s="902"/>
      <c r="F48" s="909" t="s">
        <v>152</v>
      </c>
      <c r="G48" s="910"/>
      <c r="H48" s="949"/>
      <c r="I48" s="266" t="s">
        <v>154</v>
      </c>
      <c r="J48" s="588">
        <v>135000</v>
      </c>
      <c r="K48" s="676">
        <v>165000</v>
      </c>
    </row>
    <row r="49" spans="2:14" s="186" customFormat="1" ht="25.5" customHeight="1">
      <c r="B49" s="987" t="str">
        <f>IF('Język - Language'!$B$30="Polski","Górny slot (1-sza dniówka: 3 pierwsze odsłony)","Upper slot 3/uu")</f>
        <v>Górny slot (1-sza dniówka: 3 pierwsze odsłony)</v>
      </c>
      <c r="C49" s="900" t="s">
        <v>172</v>
      </c>
      <c r="D49" s="901"/>
      <c r="E49" s="902"/>
      <c r="F49" s="980" t="str">
        <f>IF('Język - Language'!$B$30="Polski","Banner skalowalny 3/uu","Adjusted Banner 3/uu")</f>
        <v>Banner skalowalny 3/uu</v>
      </c>
      <c r="G49" s="903"/>
      <c r="H49" s="931"/>
      <c r="I49" s="606" t="s">
        <v>218</v>
      </c>
      <c r="J49" s="598">
        <v>220000</v>
      </c>
      <c r="K49" s="677">
        <v>265000</v>
      </c>
      <c r="L49" s="218"/>
      <c r="M49" s="218"/>
      <c r="N49" s="218"/>
    </row>
    <row r="50" spans="2:14" s="218" customFormat="1" ht="25.5" customHeight="1">
      <c r="B50" s="987"/>
      <c r="C50" s="900" t="s">
        <v>173</v>
      </c>
      <c r="D50" s="901"/>
      <c r="E50" s="902"/>
      <c r="F50" s="909" t="str">
        <f>IF('Język - Language'!$B$30="Polski","Rectangle/Banner skalowalny XL 1/uu + Banner skalowalny 2/uu²","Rectangle/Adjusted Banner XL 1/uu + Adjusted Banner 2/uu²")</f>
        <v>Rectangle/Banner skalowalny XL 1/uu + Banner skalowalny 2/uu²</v>
      </c>
      <c r="G50" s="910"/>
      <c r="H50" s="949"/>
      <c r="I50" s="604" t="s">
        <v>218</v>
      </c>
      <c r="J50" s="588">
        <v>260000</v>
      </c>
      <c r="K50" s="677">
        <v>310000</v>
      </c>
    </row>
    <row r="51" spans="2:14" s="218" customFormat="1" ht="25.5" customHeight="1">
      <c r="B51" s="987"/>
      <c r="C51" s="900" t="s">
        <v>312</v>
      </c>
      <c r="D51" s="901"/>
      <c r="E51" s="902"/>
      <c r="F51" s="909" t="s">
        <v>312</v>
      </c>
      <c r="G51" s="910"/>
      <c r="H51" s="949"/>
      <c r="I51" s="606" t="s">
        <v>218</v>
      </c>
      <c r="J51" s="598">
        <v>295000</v>
      </c>
      <c r="K51" s="678">
        <v>355000</v>
      </c>
    </row>
    <row r="52" spans="2:14" s="218" customFormat="1" ht="25.5" customHeight="1">
      <c r="B52" s="987"/>
      <c r="C52" s="943" t="s">
        <v>171</v>
      </c>
      <c r="D52" s="944"/>
      <c r="E52" s="945"/>
      <c r="F52" s="1015" t="str">
        <f>IF('Język - Language'!$B$30="Polski","Rectangle/Banner skalowalny XL 1/uu + Banner skalowalny 2/uu","Rectangle/Adjusted Banner XL 1/uu + Adjusted Banner 2/uu")</f>
        <v>Rectangle/Banner skalowalny XL 1/uu + Banner skalowalny 2/uu</v>
      </c>
      <c r="G52" s="1016"/>
      <c r="H52" s="1017"/>
      <c r="I52" s="607" t="s">
        <v>218</v>
      </c>
      <c r="J52" s="605">
        <v>290000</v>
      </c>
      <c r="K52" s="679">
        <v>350000</v>
      </c>
    </row>
    <row r="53" spans="2:14" s="218" customFormat="1" ht="12.75" customHeight="1">
      <c r="B53" s="608"/>
      <c r="C53" s="951" t="str">
        <f>IF('Język - Language'!$B$30="Polski","O2: STRONA GŁÓWNA (DESKTOP)","O2: HOME PAGE (DESKTOP)")</f>
        <v>O2: STRONA GŁÓWNA (DESKTOP)</v>
      </c>
      <c r="D53" s="951"/>
      <c r="E53" s="951"/>
      <c r="F53" s="951" t="str">
        <f>IF('Język - Language'!$B$30="Polski","O2: STRONA GŁÓWNA (MOBILE)¹","O2: HOME PAGE (MOBILE)¹")</f>
        <v>O2: STRONA GŁÓWNA (MOBILE)¹</v>
      </c>
      <c r="G53" s="951"/>
      <c r="H53" s="951"/>
      <c r="I53" s="951" t="s">
        <v>261</v>
      </c>
      <c r="J53" s="951" t="str">
        <f>IF('Język - Language'!$B$30="Polski","CENA RC","PRICE")</f>
        <v>CENA RC</v>
      </c>
      <c r="K53" s="979"/>
    </row>
    <row r="54" spans="2:14" s="218" customFormat="1" ht="12.75" customHeight="1">
      <c r="C54" s="952"/>
      <c r="D54" s="952"/>
      <c r="E54" s="952"/>
      <c r="F54" s="952"/>
      <c r="G54" s="952"/>
      <c r="H54" s="952"/>
      <c r="I54" s="952"/>
      <c r="J54" s="583" t="str">
        <f>IF('Język - Language'!$B$30="Polski","styczeń-wrzesień","Jan-Sep")</f>
        <v>styczeń-wrzesień</v>
      </c>
      <c r="K54" s="597" t="str">
        <f>IF('Język - Language'!$B$30="Polski","październik-grudzień","Oct-Dec")</f>
        <v>październik-grudzień</v>
      </c>
    </row>
    <row r="55" spans="2:14" s="744" customFormat="1" ht="25.5" customHeight="1">
      <c r="B55" s="767"/>
      <c r="C55" s="1013" t="s">
        <v>307</v>
      </c>
      <c r="D55" s="1013"/>
      <c r="E55" s="1014"/>
      <c r="F55" s="1013" t="s">
        <v>307</v>
      </c>
      <c r="G55" s="1013"/>
      <c r="H55" s="1014"/>
      <c r="I55" s="768" t="s">
        <v>154</v>
      </c>
      <c r="J55" s="766">
        <v>35000</v>
      </c>
      <c r="K55" s="312">
        <f>_xlfn.CEILING.PRECISE(J55+(J55*0.2),5000)</f>
        <v>45000</v>
      </c>
    </row>
    <row r="56" spans="2:14" ht="25.5" customHeight="1">
      <c r="B56" s="218"/>
      <c r="C56" s="980" t="s">
        <v>313</v>
      </c>
      <c r="D56" s="903"/>
      <c r="E56" s="931"/>
      <c r="F56" s="980" t="s">
        <v>318</v>
      </c>
      <c r="G56" s="903"/>
      <c r="H56" s="931"/>
      <c r="I56" s="606" t="s">
        <v>154</v>
      </c>
      <c r="J56" s="598">
        <v>55000</v>
      </c>
      <c r="K56" s="678">
        <v>70000</v>
      </c>
      <c r="L56" s="218"/>
      <c r="M56" s="218"/>
      <c r="N56" s="218"/>
    </row>
    <row r="57" spans="2:14" ht="25.5" customHeight="1">
      <c r="C57" s="909" t="s">
        <v>314</v>
      </c>
      <c r="D57" s="910"/>
      <c r="E57" s="949"/>
      <c r="F57" s="909" t="s">
        <v>315</v>
      </c>
      <c r="G57" s="910"/>
      <c r="H57" s="949"/>
      <c r="I57" s="604" t="s">
        <v>154</v>
      </c>
      <c r="J57" s="588">
        <v>50000</v>
      </c>
      <c r="K57" s="677">
        <v>60000</v>
      </c>
      <c r="L57" s="218"/>
      <c r="M57" s="218"/>
      <c r="N57" s="218"/>
    </row>
    <row r="58" spans="2:14" s="186" customFormat="1" ht="25.5" customHeight="1">
      <c r="B58" s="999" t="s">
        <v>257</v>
      </c>
      <c r="C58" s="909" t="s">
        <v>160</v>
      </c>
      <c r="D58" s="910"/>
      <c r="E58" s="949"/>
      <c r="F58" s="909" t="s">
        <v>160</v>
      </c>
      <c r="G58" s="910"/>
      <c r="H58" s="949"/>
      <c r="I58" s="604" t="s">
        <v>154</v>
      </c>
      <c r="J58" s="588">
        <v>45000</v>
      </c>
      <c r="K58" s="677">
        <v>55000</v>
      </c>
      <c r="L58" s="218"/>
    </row>
    <row r="59" spans="2:14" ht="25.5" customHeight="1">
      <c r="B59" s="999"/>
      <c r="C59" s="904" t="s">
        <v>161</v>
      </c>
      <c r="D59" s="905"/>
      <c r="E59" s="906"/>
      <c r="F59" s="1022" t="s">
        <v>161</v>
      </c>
      <c r="G59" s="1023"/>
      <c r="H59" s="1024"/>
      <c r="I59" s="626" t="s">
        <v>154</v>
      </c>
      <c r="J59" s="589">
        <v>40000</v>
      </c>
      <c r="K59" s="680">
        <v>50000</v>
      </c>
      <c r="L59" s="218"/>
    </row>
    <row r="60" spans="2:14" ht="12.75" customHeight="1">
      <c r="B60" s="218"/>
      <c r="C60" s="210" t="str">
        <f>IF('Język - Language'!$B$30="Polski","- Emisja na wszystkich urządzeniach. Niedostarczenie kreacji na jedno z urządzeń nie skutkuje obniżką ceny pakietowej.","- All screen emission. Failure on the creation of one of the devices does not result in price reduction package.")</f>
        <v>- Emisja na wszystkich urządzeniach. Niedostarczenie kreacji na jedno z urządzeń nie skutkuje obniżką ceny pakietowej.</v>
      </c>
      <c r="D60" s="208"/>
      <c r="E60" s="208"/>
      <c r="F60" s="208"/>
      <c r="G60" s="208"/>
      <c r="H60" s="208"/>
      <c r="I60" s="208"/>
      <c r="J60" s="208"/>
      <c r="K60" s="209"/>
      <c r="L60" s="218"/>
    </row>
    <row r="61" spans="2:14">
      <c r="B61" s="218"/>
      <c r="C61" s="129" t="str">
        <f>IF('Język - Language'!$B$30="Polski","- Dopłata za expand na desktop + tablet: +50% ","- Expand version of ad format for desktop + tablet with extra charge +50%")</f>
        <v xml:space="preserve">- Dopłata za expand na desktop + tablet: +50% </v>
      </c>
      <c r="D61" s="130"/>
      <c r="E61" s="130"/>
      <c r="F61" s="130"/>
      <c r="G61" s="130"/>
      <c r="H61" s="130"/>
      <c r="I61" s="130"/>
      <c r="J61" s="130"/>
      <c r="K61" s="139"/>
      <c r="L61" s="218"/>
    </row>
    <row r="62" spans="2:14">
      <c r="B62" s="218"/>
      <c r="C62" s="129" t="str">
        <f>IF('Język - Language'!$B$30="Polski","- Emisja innych pakietów Multiscreen dostępna na życzenie z dodatkowymi rabatami","- Others Multiscreen Packages are available on demand. We offer special prices.")</f>
        <v>- Emisja innych pakietów Multiscreen dostępna na życzenie z dodatkowymi rabatami</v>
      </c>
      <c r="D62" s="130"/>
      <c r="E62" s="130"/>
      <c r="F62" s="130"/>
      <c r="G62" s="130"/>
      <c r="H62" s="130"/>
      <c r="I62" s="130"/>
      <c r="J62" s="130"/>
      <c r="K62" s="139"/>
      <c r="L62" s="218"/>
    </row>
    <row r="63" spans="2:14" s="72" customFormat="1">
      <c r="B63" s="218"/>
      <c r="C63" s="138"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D63" s="130"/>
      <c r="E63" s="130"/>
      <c r="F63" s="130"/>
      <c r="G63" s="130"/>
      <c r="H63" s="130"/>
      <c r="I63" s="130"/>
      <c r="J63" s="130"/>
      <c r="K63" s="139"/>
      <c r="L63" s="218"/>
    </row>
    <row r="64" spans="2:14" s="218" customFormat="1">
      <c r="C64" s="135" t="s">
        <v>194</v>
      </c>
      <c r="D64" s="130"/>
      <c r="E64" s="130"/>
      <c r="F64" s="130"/>
      <c r="G64" s="130"/>
      <c r="H64" s="130"/>
      <c r="I64" s="130"/>
      <c r="J64" s="130"/>
      <c r="K64" s="516"/>
    </row>
    <row r="65" spans="1:19" s="218" customFormat="1">
      <c r="C65" s="51"/>
      <c r="D65" s="51"/>
      <c r="E65" s="51"/>
      <c r="F65" s="51"/>
      <c r="G65" s="51"/>
      <c r="H65" s="51"/>
      <c r="I65" s="51"/>
      <c r="J65" s="51"/>
      <c r="K65" s="51"/>
      <c r="L65" s="51"/>
    </row>
    <row r="66" spans="1:19" s="218" customFormat="1"/>
    <row r="68" spans="1:19" s="218" customFormat="1" ht="12.75" customHeight="1">
      <c r="B68" s="998" t="str">
        <f>IF('Język - Language'!$B$30="Polski","PUDELEK: SG + ROS (DESKTOP)","PUDELEK: HOMEPAGE + ROS (DESKTOP)")</f>
        <v>PUDELEK: SG + ROS (DESKTOP)</v>
      </c>
      <c r="C68" s="998"/>
      <c r="D68" s="998"/>
      <c r="E68" s="998"/>
      <c r="F68" s="998" t="str">
        <f>IF('Język - Language'!$B$30="Polski","PUDELEK: SG + ROS (MOBILE)¹","PUDELEK: HOMEPAGE + ROS (MOBILE)¹")</f>
        <v>PUDELEK: SG + ROS (MOBILE)¹</v>
      </c>
      <c r="G68" s="998"/>
      <c r="H68" s="998"/>
      <c r="I68" s="998" t="str">
        <f>IF('Język - Language'!$B$30="Polski","MODEL EMISJI / CZAS","TIME")</f>
        <v>MODEL EMISJI / CZAS</v>
      </c>
      <c r="J68" s="998" t="str">
        <f>IF('Język - Language'!$B$30="Polski","CENA RC","PRICE")</f>
        <v>CENA RC</v>
      </c>
      <c r="K68" s="1021"/>
    </row>
    <row r="69" spans="1:19" s="218" customFormat="1">
      <c r="B69" s="998"/>
      <c r="C69" s="998"/>
      <c r="D69" s="998"/>
      <c r="E69" s="998"/>
      <c r="F69" s="998"/>
      <c r="G69" s="998"/>
      <c r="H69" s="998"/>
      <c r="I69" s="998"/>
      <c r="J69" s="593" t="str">
        <f>IF('Język - Language'!$B$30="Polski","styczeń-wrzesień","Jan-Sep")</f>
        <v>styczeń-wrzesień</v>
      </c>
      <c r="K69" s="593" t="str">
        <f>IF('Język - Language'!$B$30="Polski","październik-grudzień","Oct-Dec")</f>
        <v>październik-grudzień</v>
      </c>
    </row>
    <row r="70" spans="1:19" s="724" customFormat="1" ht="25.5" customHeight="1">
      <c r="B70" s="900" t="s">
        <v>317</v>
      </c>
      <c r="C70" s="901"/>
      <c r="D70" s="901"/>
      <c r="E70" s="902"/>
      <c r="F70" s="909" t="s">
        <v>155</v>
      </c>
      <c r="G70" s="910"/>
      <c r="H70" s="949"/>
      <c r="I70" s="611" t="s">
        <v>297</v>
      </c>
      <c r="J70" s="598">
        <v>190000</v>
      </c>
      <c r="K70" s="728">
        <v>230000</v>
      </c>
    </row>
    <row r="71" spans="1:19" s="218" customFormat="1" ht="25.5" customHeight="1">
      <c r="B71" s="932" t="str">
        <f>IF('Język - Language'!$B$30="Polski","Double Billboard lub Wideboard 3/uu","Double Billboard or Wideboard 3/uu")</f>
        <v>Double Billboard lub Wideboard 3/uu</v>
      </c>
      <c r="C71" s="933"/>
      <c r="D71" s="933"/>
      <c r="E71" s="934"/>
      <c r="F71" s="903" t="str">
        <f>IF('Język - Language'!$B$30="Polski","Banner skalowalny 3/uu","Adjusted Banner 3/uu")</f>
        <v>Banner skalowalny 3/uu</v>
      </c>
      <c r="G71" s="903"/>
      <c r="H71" s="931"/>
      <c r="I71" s="627" t="str">
        <f>IF('Język - Language'!$B$30="Polski","3/uu / dzień","3/uu / 1 day")</f>
        <v>3/uu / dzień</v>
      </c>
      <c r="J71" s="598">
        <v>190000</v>
      </c>
      <c r="K71" s="263">
        <v>230000</v>
      </c>
    </row>
    <row r="72" spans="1:19" s="218" customFormat="1" ht="25.5" customHeight="1">
      <c r="B72" s="900" t="str">
        <f>IF('Język - Language'!$B$30="Polski","Screening 1/uu + DBB/Wideboard 2/uu","Screening 1/uu + DBB/Wideboard 2/uu")</f>
        <v>Screening 1/uu + DBB/Wideboard 2/uu</v>
      </c>
      <c r="C72" s="901"/>
      <c r="D72" s="901"/>
      <c r="E72" s="902"/>
      <c r="F72" s="911" t="str">
        <f>IF('Język - Language'!$B$30="Polski","Rectangle/Banner skalowalny XL 1/uu + Banner skalowalny 2/uu","Rectangle/Adjusted Banner XL 1/uu + Adjusted Banner 2/uu²")</f>
        <v>Rectangle/Banner skalowalny XL 1/uu + Banner skalowalny 2/uu</v>
      </c>
      <c r="G72" s="912"/>
      <c r="H72" s="913"/>
      <c r="I72" s="627" t="str">
        <f>IF('Język - Language'!$B$30="Polski","3/uu / dzień","3/uu / 1 day")</f>
        <v>3/uu / dzień</v>
      </c>
      <c r="J72" s="588">
        <v>220000</v>
      </c>
      <c r="K72" s="325">
        <v>260000</v>
      </c>
    </row>
    <row r="73" spans="1:19" ht="25.5" customHeight="1">
      <c r="B73" s="900" t="s">
        <v>312</v>
      </c>
      <c r="C73" s="901"/>
      <c r="D73" s="901"/>
      <c r="E73" s="902"/>
      <c r="F73" s="911" t="s">
        <v>312</v>
      </c>
      <c r="G73" s="912"/>
      <c r="H73" s="913"/>
      <c r="I73" s="627" t="s">
        <v>218</v>
      </c>
      <c r="J73" s="588">
        <v>250000</v>
      </c>
      <c r="K73" s="325">
        <v>300000</v>
      </c>
      <c r="L73" s="218"/>
    </row>
    <row r="74" spans="1:19" s="136" customFormat="1" ht="25.5" customHeight="1">
      <c r="B74" s="1002" t="str">
        <f>IF('Język - Language'!$B$30="Polski","Gigaboard 1/uu + Double Billboard/Wideboard 2/uu","Gigaboard 1/uu + Double Billboard/Wideboard 2/uu")</f>
        <v>Gigaboard 1/uu + Double Billboard/Wideboard 2/uu</v>
      </c>
      <c r="C74" s="1003"/>
      <c r="D74" s="1003"/>
      <c r="E74" s="1004"/>
      <c r="F74" s="1008" t="str">
        <f>IF('Język - Language'!$B$30="Polski","Rectangle/Banner skalowalny XL 1/uu + Banner skalowalny 2/uu","Rectangle/Adjusted Banner XL 1/uu + Adjusted Banner 2/uu")</f>
        <v>Rectangle/Banner skalowalny XL 1/uu + Banner skalowalny 2/uu</v>
      </c>
      <c r="G74" s="1009"/>
      <c r="H74" s="1010"/>
      <c r="I74" s="599" t="str">
        <f>IF('Język - Language'!$B$30="Polski","3/uu / dzień","3/uu / 1 day")</f>
        <v>3/uu / dzień</v>
      </c>
      <c r="J74" s="610">
        <v>250000</v>
      </c>
      <c r="K74" s="586">
        <v>300000</v>
      </c>
    </row>
    <row r="75" spans="1:19">
      <c r="A75" s="218"/>
      <c r="B75" s="135"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C75" s="141"/>
      <c r="D75" s="141"/>
      <c r="E75" s="141"/>
      <c r="F75" s="141"/>
      <c r="G75" s="141"/>
      <c r="H75" s="141"/>
      <c r="I75" s="141"/>
      <c r="J75" s="142"/>
      <c r="K75" s="142"/>
      <c r="L75" s="218"/>
      <c r="M75" s="218"/>
      <c r="N75" s="218"/>
      <c r="O75" s="218"/>
      <c r="P75" s="218"/>
      <c r="Q75" s="218"/>
      <c r="R75" s="218"/>
    </row>
    <row r="76" spans="1:19" s="218" customFormat="1">
      <c r="B76" s="135"/>
      <c r="C76" s="141"/>
      <c r="D76" s="141"/>
      <c r="E76" s="141"/>
      <c r="F76" s="141"/>
      <c r="G76" s="141"/>
      <c r="H76" s="141"/>
      <c r="I76" s="141"/>
      <c r="J76" s="147"/>
      <c r="K76" s="147"/>
    </row>
    <row r="77" spans="1:19" s="218" customFormat="1">
      <c r="B77" s="156"/>
      <c r="J77" s="216"/>
    </row>
    <row r="78" spans="1:19" s="145" customFormat="1">
      <c r="A78" s="218"/>
      <c r="B78" s="156"/>
      <c r="C78" s="218"/>
      <c r="D78" s="218"/>
      <c r="E78" s="218"/>
      <c r="F78" s="218"/>
      <c r="G78" s="218"/>
      <c r="H78" s="218"/>
      <c r="I78" s="218"/>
      <c r="J78" s="218"/>
      <c r="K78" s="218"/>
      <c r="L78" s="216"/>
      <c r="M78" s="218"/>
      <c r="N78" s="218"/>
      <c r="O78" s="218"/>
      <c r="P78" s="218"/>
      <c r="Q78" s="218"/>
      <c r="R78" s="218"/>
      <c r="S78" s="218"/>
    </row>
    <row r="79" spans="1:19" s="145" customFormat="1">
      <c r="A79" s="218"/>
      <c r="B79" s="616"/>
      <c r="C79" s="617"/>
      <c r="D79" s="617"/>
      <c r="E79" s="617"/>
      <c r="F79" s="617"/>
      <c r="G79" s="617"/>
      <c r="H79" s="617"/>
      <c r="I79" s="617"/>
      <c r="J79" s="617"/>
      <c r="K79" s="617"/>
      <c r="L79" s="216"/>
      <c r="M79" s="218"/>
      <c r="N79" s="218"/>
      <c r="O79" s="218"/>
      <c r="P79" s="218"/>
      <c r="Q79" s="218"/>
      <c r="R79" s="218"/>
      <c r="S79" s="218"/>
    </row>
    <row r="80" spans="1:19" s="218" customFormat="1" ht="12.75" customHeight="1">
      <c r="A80" s="615"/>
      <c r="B80" s="1000" t="s">
        <v>264</v>
      </c>
      <c r="C80" s="1000"/>
      <c r="D80" s="1000"/>
      <c r="E80" s="1000"/>
      <c r="F80" s="1000" t="s">
        <v>265</v>
      </c>
      <c r="G80" s="1000"/>
      <c r="H80" s="1000"/>
      <c r="I80" s="1000" t="str">
        <f>IF('Język - Language'!$B$30="Polski","MODEL EMISJI / CZAS","MODEL OF EMISSION")</f>
        <v>MODEL EMISJI / CZAS</v>
      </c>
      <c r="J80" s="1018" t="str">
        <f>IF('Język - Language'!$B$30="Polski","CENA RC","RC PRICE")</f>
        <v>CENA RC</v>
      </c>
      <c r="K80" s="1019"/>
    </row>
    <row r="81" spans="1:19" s="218" customFormat="1" ht="12.75" customHeight="1">
      <c r="A81" s="615"/>
      <c r="B81" s="1001"/>
      <c r="C81" s="1001"/>
      <c r="D81" s="1001"/>
      <c r="E81" s="1001"/>
      <c r="F81" s="1001"/>
      <c r="G81" s="1001"/>
      <c r="H81" s="1001"/>
      <c r="I81" s="1001"/>
      <c r="J81" s="747" t="str">
        <f>IF('Język - Language'!$B$30="Polski","styczeń-wrzesień","Jan-Sep")</f>
        <v>styczeń-wrzesień</v>
      </c>
      <c r="K81" s="777" t="str">
        <f>IF('Język - Language'!$B$30="Polski","październik-grudzień","Oct-Dec")</f>
        <v>październik-grudzień</v>
      </c>
    </row>
    <row r="82" spans="1:19" s="724" customFormat="1" ht="25.5" customHeight="1">
      <c r="A82" s="725"/>
      <c r="B82" s="1026" t="s">
        <v>317</v>
      </c>
      <c r="C82" s="1027"/>
      <c r="D82" s="1027"/>
      <c r="E82" s="1028"/>
      <c r="F82" s="1026" t="s">
        <v>300</v>
      </c>
      <c r="G82" s="1027"/>
      <c r="H82" s="1028"/>
      <c r="I82" s="770" t="s">
        <v>154</v>
      </c>
      <c r="J82" s="769">
        <v>75000</v>
      </c>
      <c r="K82" s="771">
        <v>90000</v>
      </c>
    </row>
    <row r="83" spans="1:19" s="218" customFormat="1" ht="25.5" customHeight="1">
      <c r="A83" s="216"/>
      <c r="B83" s="929" t="s">
        <v>258</v>
      </c>
      <c r="C83" s="956"/>
      <c r="D83" s="956"/>
      <c r="E83" s="930"/>
      <c r="F83" s="929" t="str">
        <f>IF('Język - Language'!$B$30="Polski","Banner skalowalny 3/uu","Adjusted Banner 3/uu")</f>
        <v>Banner skalowalny 3/uu</v>
      </c>
      <c r="G83" s="956"/>
      <c r="H83" s="930"/>
      <c r="I83" s="1011" t="s">
        <v>218</v>
      </c>
      <c r="J83" s="596">
        <v>170000</v>
      </c>
      <c r="K83" s="263">
        <v>205000</v>
      </c>
    </row>
    <row r="84" spans="1:19" s="218" customFormat="1" ht="25.5" customHeight="1">
      <c r="A84" s="216"/>
      <c r="B84" s="914" t="s">
        <v>229</v>
      </c>
      <c r="C84" s="915"/>
      <c r="D84" s="915"/>
      <c r="E84" s="916"/>
      <c r="F84" s="914" t="str">
        <f>IF('Język - Language'!$B$30="Polski","Rectangle/Banner skalowalny XL 1/uu + Banner skalowalny 2/uu","Rectangle/Adjusted Banner XL 1/uu + Adjusted Banner 2/uu")</f>
        <v>Rectangle/Banner skalowalny XL 1/uu + Banner skalowalny 2/uu</v>
      </c>
      <c r="G84" s="915"/>
      <c r="H84" s="916"/>
      <c r="I84" s="1011"/>
      <c r="J84" s="594">
        <v>200000</v>
      </c>
      <c r="K84" s="325">
        <v>240000</v>
      </c>
    </row>
    <row r="85" spans="1:19" s="218" customFormat="1" ht="25.5" customHeight="1">
      <c r="A85" s="151"/>
      <c r="B85" s="1005" t="str">
        <f>IF('Język - Language'!$B$30="Polski","Gigaboard 1/uu + Double Billboard/Wideboard 2/uu","Gigaboard 1/uu + Double Billboard/Wideboard 2/uu")</f>
        <v>Gigaboard 1/uu + Double Billboard/Wideboard 2/uu</v>
      </c>
      <c r="C85" s="1006"/>
      <c r="D85" s="1006"/>
      <c r="E85" s="1007"/>
      <c r="F85" s="1006" t="str">
        <f>IF('Język - Language'!$B$30="Polski","Rectangle/Banner skalowalny XL 1/uu + Banner skalowalny 2/uu","Rectangle/Adjusted Banner XL 1/uu + Adjusted Banner 2/uu")</f>
        <v>Rectangle/Banner skalowalny XL 1/uu + Banner skalowalny 2/uu</v>
      </c>
      <c r="G85" s="1006"/>
      <c r="H85" s="1007"/>
      <c r="I85" s="1020"/>
      <c r="J85" s="618">
        <v>235000</v>
      </c>
      <c r="K85" s="681">
        <v>285000</v>
      </c>
    </row>
    <row r="86" spans="1:19" s="148" customFormat="1" ht="12.75" customHeight="1">
      <c r="A86" s="615"/>
      <c r="B86" s="1025" t="s">
        <v>263</v>
      </c>
      <c r="C86" s="1025"/>
      <c r="D86" s="1025"/>
      <c r="E86" s="1025"/>
      <c r="F86" s="1025" t="s">
        <v>266</v>
      </c>
      <c r="G86" s="1025"/>
      <c r="H86" s="1025"/>
      <c r="I86" s="1000" t="str">
        <f>IF('Język - Language'!$B$30="Polski","MODEL EMISJI / CZAS","MODEL OF EMISSION")</f>
        <v>MODEL EMISJI / CZAS</v>
      </c>
      <c r="J86" s="1018" t="str">
        <f>IF('Język - Language'!$B$30="Polski","CENA RC","RC PRICE")</f>
        <v>CENA RC</v>
      </c>
      <c r="K86" s="1019"/>
      <c r="L86" s="218"/>
      <c r="M86" s="218"/>
      <c r="N86" s="218"/>
      <c r="O86" s="218"/>
      <c r="P86" s="218"/>
      <c r="Q86" s="218"/>
      <c r="R86" s="218"/>
      <c r="S86" s="218"/>
    </row>
    <row r="87" spans="1:19" s="218" customFormat="1" ht="12.75" customHeight="1">
      <c r="A87" s="216"/>
      <c r="B87" s="1001"/>
      <c r="C87" s="1001"/>
      <c r="D87" s="1001"/>
      <c r="E87" s="1001"/>
      <c r="F87" s="1001"/>
      <c r="G87" s="1001"/>
      <c r="H87" s="1001"/>
      <c r="I87" s="1001"/>
      <c r="J87" s="619" t="str">
        <f>IF('Język - Language'!$B$30="Polski","styczeń-wrzesień","Jan-Sep")</f>
        <v>styczeń-wrzesień</v>
      </c>
      <c r="K87" s="778" t="str">
        <f>IF('Język - Language'!$B$30="Polski","październik-grudzień","Oct-Dec")</f>
        <v>październik-grudzień</v>
      </c>
    </row>
    <row r="88" spans="1:19" s="148" customFormat="1" ht="25.5" customHeight="1">
      <c r="A88" s="151"/>
      <c r="B88" s="929" t="s">
        <v>259</v>
      </c>
      <c r="C88" s="956"/>
      <c r="D88" s="956"/>
      <c r="E88" s="930"/>
      <c r="F88" s="929" t="str">
        <f>IF('Język - Language'!$B$30="Polski","Banner skalowalny","Adjusted Banner")</f>
        <v>Banner skalowalny</v>
      </c>
      <c r="G88" s="956"/>
      <c r="H88" s="930"/>
      <c r="I88" s="1011" t="str">
        <f>IF('Język - Language'!$B$30="Polski","Flat Fee / tydzień","Flat Fee / 1 week")</f>
        <v>Flat Fee / tydzień</v>
      </c>
      <c r="J88" s="596">
        <v>100000</v>
      </c>
      <c r="K88" s="682">
        <v>120000</v>
      </c>
      <c r="L88" s="218"/>
      <c r="M88" s="218"/>
      <c r="N88" s="218"/>
      <c r="O88" s="218"/>
      <c r="P88" s="218"/>
      <c r="Q88" s="218"/>
      <c r="R88" s="218"/>
    </row>
    <row r="89" spans="1:19" s="145" customFormat="1" ht="25.5" customHeight="1">
      <c r="A89" s="151"/>
      <c r="B89" s="911" t="s">
        <v>225</v>
      </c>
      <c r="C89" s="912"/>
      <c r="D89" s="912"/>
      <c r="E89" s="913"/>
      <c r="F89" s="911" t="str">
        <f>IF('Język - Language'!$B$30="Polski","Rectangle/Banner skalowalny XL","Rectangle/Adjusted Banner XL")</f>
        <v>Rectangle/Banner skalowalny XL</v>
      </c>
      <c r="G89" s="912"/>
      <c r="H89" s="913"/>
      <c r="I89" s="1011"/>
      <c r="J89" s="594">
        <v>135000</v>
      </c>
      <c r="K89" s="325">
        <v>265000</v>
      </c>
      <c r="L89" s="218"/>
      <c r="M89" s="218"/>
      <c r="N89" s="218"/>
      <c r="O89" s="218"/>
      <c r="P89" s="218"/>
      <c r="Q89" s="218"/>
      <c r="R89" s="218"/>
    </row>
    <row r="90" spans="1:19" s="145" customFormat="1" ht="25.5" customHeight="1">
      <c r="A90" s="151"/>
      <c r="B90" s="911" t="s">
        <v>325</v>
      </c>
      <c r="C90" s="912"/>
      <c r="D90" s="912"/>
      <c r="E90" s="913"/>
      <c r="F90" s="911" t="str">
        <f>IF('Język - Language'!$B$30="Polski","Rectangle/Banner skalowalny XL","Rectangle/Adjusted Banner XL")</f>
        <v>Rectangle/Banner skalowalny XL</v>
      </c>
      <c r="G90" s="912"/>
      <c r="H90" s="913"/>
      <c r="I90" s="1011"/>
      <c r="J90" s="594">
        <v>155000</v>
      </c>
      <c r="K90" s="325">
        <v>190000</v>
      </c>
      <c r="L90" s="218"/>
      <c r="M90" s="218"/>
      <c r="N90" s="218"/>
      <c r="O90" s="218"/>
      <c r="P90" s="218"/>
      <c r="Q90" s="218"/>
      <c r="R90" s="218"/>
    </row>
    <row r="91" spans="1:19" s="145" customFormat="1" ht="25.5" customHeight="1">
      <c r="A91" s="151"/>
      <c r="B91" s="911" t="s">
        <v>323</v>
      </c>
      <c r="C91" s="912"/>
      <c r="D91" s="912"/>
      <c r="E91" s="913"/>
      <c r="F91" s="911" t="s">
        <v>326</v>
      </c>
      <c r="G91" s="912"/>
      <c r="H91" s="913"/>
      <c r="I91" s="1011"/>
      <c r="J91" s="596">
        <v>55000</v>
      </c>
      <c r="K91" s="325">
        <v>70000</v>
      </c>
      <c r="L91" s="218"/>
      <c r="M91" s="218"/>
      <c r="N91" s="218"/>
      <c r="O91" s="218"/>
      <c r="P91" s="218"/>
      <c r="Q91" s="218"/>
      <c r="R91" s="218"/>
    </row>
    <row r="92" spans="1:19" s="145" customFormat="1" ht="25.5" customHeight="1">
      <c r="A92" s="151"/>
      <c r="B92" s="1008" t="s">
        <v>324</v>
      </c>
      <c r="C92" s="1009"/>
      <c r="D92" s="1009"/>
      <c r="E92" s="1010"/>
      <c r="F92" s="920" t="str">
        <f>IF('Język - Language'!$B$30="Polski","Banner skalowany","Adjusted Banner")</f>
        <v>Banner skalowany</v>
      </c>
      <c r="G92" s="921"/>
      <c r="H92" s="936"/>
      <c r="I92" s="1012"/>
      <c r="J92" s="595">
        <v>65000</v>
      </c>
      <c r="K92" s="586">
        <v>80000</v>
      </c>
      <c r="L92" s="218"/>
      <c r="M92" s="218"/>
      <c r="N92" s="218"/>
      <c r="O92" s="218"/>
      <c r="P92" s="218"/>
      <c r="Q92" s="218"/>
      <c r="R92" s="218"/>
    </row>
    <row r="93" spans="1:19" s="145" customFormat="1">
      <c r="A93" s="218"/>
      <c r="B93" s="135" t="str">
        <f>IF('Język - Language'!$B$30="Polski","¹ Content Box XL +50%","¹ Content Box XL +50%")</f>
        <v>¹ Content Box XL +50%</v>
      </c>
      <c r="C93" s="141"/>
      <c r="D93" s="141"/>
      <c r="E93" s="141"/>
      <c r="F93" s="141"/>
      <c r="G93" s="141"/>
      <c r="H93" s="141"/>
      <c r="I93" s="141"/>
      <c r="J93" s="141"/>
      <c r="K93" s="142"/>
      <c r="L93" s="218"/>
      <c r="M93" s="218"/>
      <c r="N93" s="218"/>
      <c r="O93" s="218"/>
      <c r="P93" s="218"/>
      <c r="Q93" s="218"/>
      <c r="R93" s="218"/>
      <c r="S93" s="218"/>
    </row>
    <row r="94" spans="1:19" s="218" customFormat="1">
      <c r="B94" s="156"/>
      <c r="K94" s="216"/>
    </row>
    <row r="95" spans="1:19" s="218" customFormat="1">
      <c r="B95" s="156"/>
    </row>
    <row r="96" spans="1:19" s="218" customFormat="1">
      <c r="B96" s="156"/>
    </row>
    <row r="97" spans="1:19" s="218" customFormat="1" ht="12.75" customHeight="1">
      <c r="B97" s="922" t="str">
        <f>IF('Język - Language'!$B$30="Polski","WP WIADOMOŚCI: STRONA GŁÓWNA +ROS (DESKTOP)","WP WIADOMOSCI: HOMEPAGE + ROS (DESKTOP)")</f>
        <v>WP WIADOMOŚCI: STRONA GŁÓWNA +ROS (DESKTOP)</v>
      </c>
      <c r="C97" s="922"/>
      <c r="D97" s="922"/>
      <c r="E97" s="922"/>
      <c r="F97" s="922" t="str">
        <f>IF('Język - Language'!$B$30="Polski","WP WIADOMOSCI: STRONA GŁÓWNA + ROS (MOBILE)¹","WP WIADOMOSCI: HOMEPAGE + ROS (MOBILE)¹")</f>
        <v>WP WIADOMOSCI: STRONA GŁÓWNA + ROS (MOBILE)¹</v>
      </c>
      <c r="G97" s="922"/>
      <c r="H97" s="922"/>
      <c r="I97" s="922" t="str">
        <f>IF('Język - Language'!$B$30="Polski","CZAS EMISJI","TIME")</f>
        <v>CZAS EMISJI</v>
      </c>
      <c r="J97" s="922" t="str">
        <f>IF('Język - Language'!$B$30="Polski","CENA RC","RC PRICE")</f>
        <v>CENA RC</v>
      </c>
      <c r="K97" s="923"/>
    </row>
    <row r="98" spans="1:19" s="218" customFormat="1" ht="12.75" customHeight="1">
      <c r="B98" s="969"/>
      <c r="C98" s="969"/>
      <c r="D98" s="969"/>
      <c r="E98" s="969"/>
      <c r="F98" s="969"/>
      <c r="G98" s="969"/>
      <c r="H98" s="969"/>
      <c r="I98" s="969"/>
      <c r="J98" s="773" t="str">
        <f>IF('Język - Language'!$B$30="Polski","styczeń-wrzesień","Jan-Sep")</f>
        <v>styczeń-wrzesień</v>
      </c>
      <c r="K98" s="774" t="str">
        <f>IF('Język - Language'!$B$30="Polski","październik-grudzień","Oct-Dec")</f>
        <v>październik-grudzień</v>
      </c>
    </row>
    <row r="99" spans="1:19" s="724" customFormat="1" ht="26.25" customHeight="1">
      <c r="B99" s="932" t="s">
        <v>317</v>
      </c>
      <c r="C99" s="933"/>
      <c r="D99" s="933"/>
      <c r="E99" s="934"/>
      <c r="F99" s="749" t="s">
        <v>155</v>
      </c>
      <c r="G99" s="750"/>
      <c r="H99" s="750"/>
      <c r="I99" s="772" t="s">
        <v>154</v>
      </c>
      <c r="J99" s="776">
        <v>190000</v>
      </c>
      <c r="K99" s="775">
        <v>230000</v>
      </c>
    </row>
    <row r="100" spans="1:19" s="218" customFormat="1" ht="25.5" customHeight="1">
      <c r="A100" s="151"/>
      <c r="B100" s="900" t="str">
        <f>IF('Język - Language'!$B$30="Polski","Double Billboard lub Wideboard 3/uu","Double Billboard or Wideboard 3/uu")</f>
        <v>Double Billboard lub Wideboard 3/uu</v>
      </c>
      <c r="C100" s="901"/>
      <c r="D100" s="901"/>
      <c r="E100" s="902"/>
      <c r="F100" s="903" t="str">
        <f>IF('Język - Language'!$B$30="Polski","Banner skalowalny 3/uu","Adjusted Banner 3/uu")</f>
        <v>Banner skalowalny 3/uu</v>
      </c>
      <c r="G100" s="903"/>
      <c r="H100" s="903"/>
      <c r="I100" s="726" t="s">
        <v>218</v>
      </c>
      <c r="J100" s="700">
        <v>170000</v>
      </c>
      <c r="K100" s="728">
        <v>205000</v>
      </c>
    </row>
    <row r="101" spans="1:19" s="218" customFormat="1" ht="25.5" customHeight="1">
      <c r="A101" s="151"/>
      <c r="B101" s="900" t="str">
        <f>IF('Język - Language'!$B$30="Polski","Screening 1/uu + DBB/Wideboard 2/uu","Screening 1/uu + DBB/Wideboard 2/uu")</f>
        <v>Screening 1/uu + DBB/Wideboard 2/uu</v>
      </c>
      <c r="C101" s="901"/>
      <c r="D101" s="901"/>
      <c r="E101" s="902"/>
      <c r="F101" s="909" t="str">
        <f>IF('Język - Language'!$B$30="Polski","Rectangle/Banner skalowalny XL 1/uu + Banner skalowalny 2/uu²","Rectangle/Adjusted Banner XL 1/uu + Adjusted Banner 2/uu²")</f>
        <v>Rectangle/Banner skalowalny XL 1/uu + Banner skalowalny 2/uu²</v>
      </c>
      <c r="G101" s="910"/>
      <c r="H101" s="910"/>
      <c r="I101" s="727" t="s">
        <v>218</v>
      </c>
      <c r="J101" s="561">
        <v>200000</v>
      </c>
      <c r="K101" s="732">
        <v>240000</v>
      </c>
    </row>
    <row r="102" spans="1:19" s="218" customFormat="1" ht="25.5" customHeight="1">
      <c r="A102" s="151"/>
      <c r="B102" s="904" t="str">
        <f>IF('Język - Language'!$B$30="Polski","Gigaboard 1/uu + Double Billboard/Wideboard 2/uu","Gigaboard 1/uu + Double Billboard/Wideboard 2/uu")</f>
        <v>Gigaboard 1/uu + Double Billboard/Wideboard 2/uu</v>
      </c>
      <c r="C102" s="905"/>
      <c r="D102" s="905"/>
      <c r="E102" s="906"/>
      <c r="F102" s="920" t="str">
        <f>IF('Język - Language'!$B$30="Polski","Rectangle/Banner skalowalny XL 1/uu + Banner skalowalny 2/uu","Rectangle/Adjusted Banner XL 1/uu + Adjusted Banner 2/uu")</f>
        <v>Rectangle/Banner skalowalny XL 1/uu + Banner skalowalny 2/uu</v>
      </c>
      <c r="G102" s="921"/>
      <c r="H102" s="921"/>
      <c r="I102" s="736" t="s">
        <v>218</v>
      </c>
      <c r="J102" s="620">
        <v>235000</v>
      </c>
      <c r="K102" s="586">
        <v>285000</v>
      </c>
    </row>
    <row r="103" spans="1:19" s="218" customFormat="1" ht="12.75" customHeight="1">
      <c r="A103" s="216"/>
      <c r="B103" s="135"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C103" s="517"/>
      <c r="D103" s="517"/>
      <c r="E103" s="517"/>
      <c r="F103" s="517"/>
      <c r="G103" s="517"/>
      <c r="H103" s="517"/>
      <c r="I103" s="517"/>
      <c r="J103" s="518"/>
      <c r="K103" s="614"/>
    </row>
    <row r="104" spans="1:19" s="218" customFormat="1">
      <c r="B104" s="156"/>
      <c r="J104" s="216"/>
    </row>
    <row r="105" spans="1:19" s="150" customFormat="1">
      <c r="A105" s="218"/>
      <c r="B105" s="156"/>
      <c r="C105" s="218"/>
      <c r="D105" s="218"/>
      <c r="E105" s="218"/>
      <c r="F105" s="218"/>
      <c r="G105" s="218"/>
      <c r="H105" s="218"/>
      <c r="I105" s="218"/>
      <c r="J105" s="218"/>
      <c r="K105" s="218"/>
      <c r="L105" s="218"/>
      <c r="M105" s="218"/>
      <c r="N105" s="218"/>
      <c r="O105" s="218"/>
      <c r="P105" s="218"/>
      <c r="Q105" s="218"/>
      <c r="R105" s="218"/>
    </row>
    <row r="106" spans="1:19" s="150" customFormat="1">
      <c r="A106" s="218"/>
      <c r="B106" s="156"/>
      <c r="C106" s="218"/>
      <c r="D106" s="218"/>
      <c r="E106" s="218"/>
      <c r="F106" s="218"/>
      <c r="G106" s="218"/>
      <c r="H106" s="218"/>
      <c r="I106" s="218"/>
      <c r="J106" s="218"/>
      <c r="K106" s="218"/>
      <c r="L106" s="218"/>
      <c r="M106" s="218"/>
      <c r="N106" s="218"/>
      <c r="O106" s="218"/>
      <c r="P106" s="218"/>
      <c r="Q106" s="218"/>
      <c r="R106" s="218"/>
    </row>
    <row r="107" spans="1:19" s="150" customFormat="1" ht="12.75" customHeight="1">
      <c r="A107" s="218"/>
      <c r="B107" s="898" t="str">
        <f>IF('Język - Language'!$B$30="Polski","SPORTOWEFAKTY: STRONA GŁÓWNA + ROS (DESKTOP)","SPORTOWEFAKTY: HOMEPAGE + ROS (DESKTOP)")</f>
        <v>SPORTOWEFAKTY: STRONA GŁÓWNA + ROS (DESKTOP)</v>
      </c>
      <c r="C107" s="898"/>
      <c r="D107" s="898"/>
      <c r="E107" s="898"/>
      <c r="F107" s="898" t="str">
        <f>IF('Język - Language'!$B$30="Polski","SPORTOWEFAKTY: STRONA GŁÓWNA + ROS (MOBILE)¹","SPORTOWEFAKTY: HOMEPAGE + ROS (MOBILE)¹")</f>
        <v>SPORTOWEFAKTY: STRONA GŁÓWNA + ROS (MOBILE)¹</v>
      </c>
      <c r="G107" s="898"/>
      <c r="H107" s="898"/>
      <c r="I107" s="898" t="str">
        <f>IF('Język - Language'!$B$30="Polski","CZAS EMISJI","TIME")</f>
        <v>CZAS EMISJI</v>
      </c>
      <c r="J107" s="898" t="str">
        <f>IF('Język - Language'!$B$30="Polski","CENA RC","RC PRICE")</f>
        <v>CENA RC</v>
      </c>
      <c r="K107" s="899"/>
      <c r="L107" s="218"/>
      <c r="M107" s="218"/>
      <c r="N107" s="218"/>
      <c r="O107" s="218"/>
      <c r="P107" s="218"/>
      <c r="Q107" s="218"/>
      <c r="R107" s="218"/>
      <c r="S107" s="218"/>
    </row>
    <row r="108" spans="1:19" s="724" customFormat="1" ht="12.75" customHeight="1">
      <c r="B108" s="925"/>
      <c r="C108" s="925"/>
      <c r="D108" s="925"/>
      <c r="E108" s="925"/>
      <c r="F108" s="925"/>
      <c r="G108" s="925"/>
      <c r="H108" s="925"/>
      <c r="I108" s="925"/>
      <c r="J108" s="779" t="str">
        <f>IF('Język - Language'!$B$30="Polski","styczeń-wrzesień","Jan-Sep")</f>
        <v>styczeń-wrzesień</v>
      </c>
      <c r="K108" s="780" t="str">
        <f>IF('Język - Language'!$B$30="Polski","październik-grudzień","Oct-Dec")</f>
        <v>październik-grudzień</v>
      </c>
    </row>
    <row r="109" spans="1:19" s="724" customFormat="1" ht="25.5" customHeight="1">
      <c r="B109" s="935" t="s">
        <v>317</v>
      </c>
      <c r="C109" s="935"/>
      <c r="D109" s="935"/>
      <c r="E109" s="935"/>
      <c r="F109" s="935" t="s">
        <v>155</v>
      </c>
      <c r="G109" s="935"/>
      <c r="H109" s="935"/>
      <c r="I109" s="781" t="s">
        <v>154</v>
      </c>
      <c r="J109" s="782">
        <v>180000</v>
      </c>
      <c r="K109" s="783">
        <f t="shared" ref="K109" si="0">_xlfn.CEILING.PRECISE(J109+(J109*0.2),5000)</f>
        <v>220000</v>
      </c>
    </row>
    <row r="110" spans="1:19" s="218" customFormat="1" ht="25.5" customHeight="1">
      <c r="A110" s="151"/>
      <c r="B110" s="932" t="str">
        <f>IF('Język - Language'!$B$30="Polski","Double Billboard lub Wideboard 3/uu","Double Billboard or Wideboard 3/uu")</f>
        <v>Double Billboard lub Wideboard 3/uu</v>
      </c>
      <c r="C110" s="933"/>
      <c r="D110" s="933"/>
      <c r="E110" s="934"/>
      <c r="F110" s="903" t="str">
        <f>IF('Język - Language'!$B$30="Polski","Banner skalowalny 3/uu","Adjusted Banner 3/uu")</f>
        <v>Banner skalowalny 3/uu</v>
      </c>
      <c r="G110" s="903"/>
      <c r="H110" s="931"/>
      <c r="I110" s="166" t="s">
        <v>218</v>
      </c>
      <c r="J110" s="560">
        <v>210000</v>
      </c>
      <c r="K110" s="325">
        <v>255000</v>
      </c>
    </row>
    <row r="111" spans="1:19" s="218" customFormat="1" ht="25.5" customHeight="1">
      <c r="A111" s="151"/>
      <c r="B111" s="900" t="str">
        <f>IF('Język - Language'!$B$30="Polski","Screening 1/uu + DBB/Wideboard 2/uu","Screening 1/uu + DBB/Wideboard 2/uu")</f>
        <v>Screening 1/uu + DBB/Wideboard 2/uu</v>
      </c>
      <c r="C111" s="901"/>
      <c r="D111" s="901"/>
      <c r="E111" s="902"/>
      <c r="F111" s="911" t="str">
        <f>IF('Język - Language'!$B$30="Polski","Rectangle/Banner skalowalny XL 1/uu + Banner skalowalny 2/uu²","Rectangle/Adjusted Banner XL 1/uu + Adjusted Banner 2/uu²")</f>
        <v>Rectangle/Banner skalowalny XL 1/uu + Banner skalowalny 2/uu²</v>
      </c>
      <c r="G111" s="912"/>
      <c r="H111" s="913"/>
      <c r="I111" s="226" t="s">
        <v>218</v>
      </c>
      <c r="J111" s="561">
        <v>245000</v>
      </c>
      <c r="K111" s="325">
        <v>295000</v>
      </c>
    </row>
    <row r="112" spans="1:19" s="218" customFormat="1" ht="25.5" customHeight="1">
      <c r="A112" s="151"/>
      <c r="B112" s="943" t="str">
        <f>IF('Język - Language'!$B$30="Polski","Gigaboard 1/uu + Double Billboard/Wideboard 2/uu","Gigaboard 1/uu + Double Billboard/Wideboard 2/uu")</f>
        <v>Gigaboard 1/uu + Double Billboard/Wideboard 2/uu</v>
      </c>
      <c r="C112" s="944"/>
      <c r="D112" s="944"/>
      <c r="E112" s="945"/>
      <c r="F112" s="914" t="str">
        <f>IF('Język - Language'!$B$30="Polski","Rectangle/Banner skalowalny XL 1/uu + Banner skalowalny 2/uu","Rectangle/Adjusted Banner XL 1/uu + Adjusted Banner 2/uu")</f>
        <v>Rectangle/Banner skalowalny XL 1/uu + Banner skalowalny 2/uu</v>
      </c>
      <c r="G112" s="915"/>
      <c r="H112" s="916"/>
      <c r="I112" s="613" t="s">
        <v>218</v>
      </c>
      <c r="J112" s="621">
        <v>275000</v>
      </c>
      <c r="K112" s="683">
        <v>330000</v>
      </c>
    </row>
    <row r="113" spans="1:19" s="150" customFormat="1" ht="12.75" customHeight="1">
      <c r="A113" s="218"/>
      <c r="B113" s="898" t="str">
        <f>IF('Język - Language'!$B$30="Polski","SPORTOWEFAKTY: STRONA GŁÓWNA (DESKTOP)","SPORTOWEFAKTY: HOMEPAGE (DESKTOP)")</f>
        <v>SPORTOWEFAKTY: STRONA GŁÓWNA (DESKTOP)</v>
      </c>
      <c r="C113" s="898"/>
      <c r="D113" s="898"/>
      <c r="E113" s="898"/>
      <c r="F113" s="898" t="str">
        <f>IF('Język - Language'!$B$30="Polski","SPORTOWEFAKTY: STRONA GŁÓWNA (MOBILE)¹","SPORTOWEFAKTY: HOMEPAGE (MOBILE)¹")</f>
        <v>SPORTOWEFAKTY: STRONA GŁÓWNA (MOBILE)¹</v>
      </c>
      <c r="G113" s="898"/>
      <c r="H113" s="898"/>
      <c r="I113" s="898" t="str">
        <f>IF('Język - Language'!$B$30="Polski","CZAS EMISJI","TIME")</f>
        <v>CZAS EMISJI</v>
      </c>
      <c r="J113" s="898" t="str">
        <f>IF('Język - Language'!$B$30="Polski","CENA RC","RC PRICE")</f>
        <v>CENA RC</v>
      </c>
      <c r="K113" s="899"/>
      <c r="L113" s="218"/>
      <c r="M113" s="218"/>
      <c r="N113" s="218"/>
      <c r="O113" s="218"/>
      <c r="P113" s="218"/>
      <c r="Q113" s="218"/>
      <c r="R113" s="218"/>
      <c r="S113" s="218"/>
    </row>
    <row r="114" spans="1:19" s="724" customFormat="1" ht="12.75" customHeight="1">
      <c r="B114" s="925"/>
      <c r="C114" s="925"/>
      <c r="D114" s="925"/>
      <c r="E114" s="925"/>
      <c r="F114" s="925"/>
      <c r="G114" s="925"/>
      <c r="H114" s="925"/>
      <c r="I114" s="925"/>
      <c r="J114" s="779" t="str">
        <f>IF('Język - Language'!$B$30="Polski","styczeń-wrzesień","Jan-Sep")</f>
        <v>styczeń-wrzesień</v>
      </c>
      <c r="K114" s="780" t="str">
        <f>IF('Język - Language'!$B$30="Polski","październik-grudzień","Oct-Dec")</f>
        <v>październik-grudzień</v>
      </c>
    </row>
    <row r="115" spans="1:19" s="150" customFormat="1" ht="25.5" customHeight="1">
      <c r="A115" s="151"/>
      <c r="B115" s="937" t="str">
        <f>IF('Język - Language'!$B$30="Polski","Content Box (x15)","Content Box")</f>
        <v>Content Box (x15)</v>
      </c>
      <c r="C115" s="938"/>
      <c r="D115" s="938"/>
      <c r="E115" s="939"/>
      <c r="F115" s="937" t="s">
        <v>294</v>
      </c>
      <c r="G115" s="938"/>
      <c r="H115" s="939"/>
      <c r="I115" s="166" t="str">
        <f>IF('Język - Language'!$B$30="Polski","Flat Fee / dzień","Flat Fee / 24 h")</f>
        <v>Flat Fee / dzień</v>
      </c>
      <c r="J115" s="560">
        <v>25000</v>
      </c>
      <c r="K115" s="263">
        <v>30000</v>
      </c>
      <c r="L115" s="218"/>
      <c r="M115" s="218"/>
      <c r="N115" s="218"/>
      <c r="O115" s="218"/>
      <c r="P115" s="218"/>
      <c r="Q115" s="218"/>
      <c r="R115" s="218"/>
    </row>
    <row r="116" spans="1:19" s="150" customFormat="1" ht="25.5" customHeight="1">
      <c r="A116" s="151"/>
      <c r="B116" s="940"/>
      <c r="C116" s="941"/>
      <c r="D116" s="941"/>
      <c r="E116" s="942"/>
      <c r="F116" s="940"/>
      <c r="G116" s="941"/>
      <c r="H116" s="942"/>
      <c r="I116" s="612" t="str">
        <f>IF('Język - Language'!$B$30="Polski","Flat Fee / tydzień","Flat Fee / 1 week")</f>
        <v>Flat Fee / tydzień</v>
      </c>
      <c r="J116" s="620">
        <v>105000</v>
      </c>
      <c r="K116" s="586">
        <v>130000</v>
      </c>
      <c r="L116" s="218"/>
      <c r="M116" s="218"/>
      <c r="N116" s="218"/>
      <c r="O116" s="218"/>
      <c r="P116" s="218"/>
      <c r="Q116" s="218"/>
      <c r="R116" s="218"/>
    </row>
    <row r="117" spans="1:19" s="218" customFormat="1" ht="12.75" customHeight="1">
      <c r="A117" s="216"/>
      <c r="B117" s="135"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C117" s="517"/>
      <c r="D117" s="517"/>
      <c r="E117" s="517"/>
      <c r="F117" s="517"/>
      <c r="G117" s="517"/>
      <c r="H117" s="517"/>
      <c r="I117" s="518"/>
      <c r="J117" s="518"/>
      <c r="K117" s="614"/>
    </row>
    <row r="118" spans="1:19" s="83" customFormat="1">
      <c r="B118" s="218"/>
      <c r="C118" s="51"/>
      <c r="D118" s="51"/>
      <c r="E118" s="51"/>
      <c r="F118" s="51"/>
      <c r="G118" s="51"/>
      <c r="H118" s="51"/>
      <c r="I118" s="51"/>
      <c r="J118" s="51"/>
      <c r="K118" s="51"/>
      <c r="L118" s="51"/>
    </row>
    <row r="119" spans="1:19" s="218" customFormat="1" ht="12.75" customHeight="1">
      <c r="A119" s="216"/>
      <c r="B119" s="358"/>
      <c r="C119" s="358"/>
      <c r="D119" s="358"/>
      <c r="E119" s="358"/>
      <c r="F119" s="358"/>
      <c r="G119" s="358"/>
      <c r="H119" s="358"/>
      <c r="I119" s="358"/>
      <c r="J119" s="358"/>
      <c r="K119" s="367"/>
    </row>
    <row r="120" spans="1:19" s="218" customFormat="1" ht="12.75" customHeight="1">
      <c r="A120" s="216"/>
      <c r="B120" s="358"/>
      <c r="C120" s="358"/>
      <c r="D120" s="358"/>
      <c r="E120" s="358"/>
      <c r="F120" s="358"/>
      <c r="G120" s="358"/>
      <c r="H120" s="358"/>
      <c r="I120" s="358"/>
      <c r="J120" s="358"/>
      <c r="K120" s="367"/>
    </row>
    <row r="121" spans="1:19" s="218" customFormat="1" ht="12.75" customHeight="1">
      <c r="A121" s="216"/>
      <c r="B121" s="926" t="s">
        <v>123</v>
      </c>
      <c r="C121" s="926"/>
      <c r="D121" s="926"/>
      <c r="E121" s="926"/>
      <c r="F121" s="926" t="s">
        <v>124</v>
      </c>
      <c r="G121" s="926"/>
      <c r="H121" s="926"/>
      <c r="I121" s="926" t="str">
        <f>IF('Język - Language'!$B$30="Polski","CZAS EMISJI","TIME")</f>
        <v>CZAS EMISJI</v>
      </c>
      <c r="J121" s="924" t="str">
        <f>IF('Język - Language'!$B$30="Polski","CENA RC","RC PRICE")</f>
        <v>CENA RC</v>
      </c>
      <c r="K121" s="924"/>
    </row>
    <row r="122" spans="1:19" s="724" customFormat="1" ht="12.75" customHeight="1">
      <c r="A122" s="725"/>
      <c r="B122" s="926"/>
      <c r="C122" s="926"/>
      <c r="D122" s="926"/>
      <c r="E122" s="926"/>
      <c r="F122" s="926"/>
      <c r="G122" s="926"/>
      <c r="H122" s="926"/>
      <c r="I122" s="926"/>
      <c r="J122" s="785" t="str">
        <f>IF('Język - Language'!$B$30="Polski","styczeń-wrzesień","Jan-Sep")</f>
        <v>styczeń-wrzesień</v>
      </c>
      <c r="K122" s="369" t="str">
        <f>IF('Język - Language'!$B$30="Polski","październik-grudzień","Oct-Dec")</f>
        <v>październik-grudzień</v>
      </c>
    </row>
    <row r="123" spans="1:19" s="218" customFormat="1" ht="25.5" customHeight="1">
      <c r="A123" s="151"/>
      <c r="B123" s="917" t="s">
        <v>125</v>
      </c>
      <c r="C123" s="918"/>
      <c r="D123" s="918"/>
      <c r="E123" s="919"/>
      <c r="F123" s="917" t="str">
        <f>IF('Język - Language'!$B$30="Polski","Banner skalowalny 3/uu / dzień","Adjusted Banner 3/uu / 24h")</f>
        <v>Banner skalowalny 3/uu / dzień</v>
      </c>
      <c r="G123" s="918"/>
      <c r="H123" s="919"/>
      <c r="I123" s="246" t="s">
        <v>278</v>
      </c>
      <c r="J123" s="700">
        <v>45000</v>
      </c>
      <c r="K123" s="728">
        <v>55000</v>
      </c>
    </row>
    <row r="124" spans="1:19" s="218" customFormat="1" ht="25.5" customHeight="1">
      <c r="A124" s="151"/>
      <c r="B124" s="940" t="s">
        <v>132</v>
      </c>
      <c r="C124" s="941"/>
      <c r="D124" s="941"/>
      <c r="E124" s="942"/>
      <c r="F124" s="940" t="str">
        <f>IF('Język - Language'!$B$30="Polski","Banner skalowalny 3/uu / dzień","Adjusted Banner 3/uu / 24h")</f>
        <v>Banner skalowalny 3/uu / dzień</v>
      </c>
      <c r="G124" s="941"/>
      <c r="H124" s="942"/>
      <c r="I124" s="368" t="s">
        <v>278</v>
      </c>
      <c r="J124" s="698">
        <v>60000</v>
      </c>
      <c r="K124" s="586">
        <v>70000</v>
      </c>
    </row>
    <row r="125" spans="1:19" s="218" customFormat="1" ht="13.5" customHeight="1">
      <c r="A125" s="216"/>
      <c r="B125" s="592"/>
      <c r="C125" s="592"/>
      <c r="D125" s="592"/>
      <c r="E125" s="592"/>
      <c r="F125" s="592"/>
      <c r="G125" s="592"/>
      <c r="H125" s="592"/>
      <c r="I125" s="358"/>
      <c r="J125" s="367"/>
    </row>
    <row r="126" spans="1:19" s="218" customFormat="1" ht="13.5" customHeight="1">
      <c r="A126" s="216"/>
      <c r="B126" s="645"/>
      <c r="C126" s="645"/>
      <c r="D126" s="645"/>
      <c r="E126" s="645"/>
      <c r="F126" s="645"/>
      <c r="G126" s="645"/>
      <c r="H126" s="645"/>
      <c r="I126" s="358"/>
      <c r="J126" s="367"/>
    </row>
    <row r="127" spans="1:19" s="218" customFormat="1" ht="12.75" customHeight="1">
      <c r="B127" s="922" t="str">
        <f>IF('Język - Language'!$B$30="Polski","WP SERWISY PREMIUM: SG + ROS (DESKTOP)","WP PREMIUM SITES: HOMEPAGE + ROS (DESKTOP)")</f>
        <v>WP SERWISY PREMIUM: SG + ROS (DESKTOP)</v>
      </c>
      <c r="C127" s="922"/>
      <c r="D127" s="922"/>
      <c r="E127" s="922"/>
      <c r="F127" s="922" t="str">
        <f>IF('Język - Language'!$B$30="Polski","WP SERWISY PREMIUM: SG + ROS (MOBILE)¹","WP PREMIUM SITES: HOMEPAGE + ROS (MOBILE)¹")</f>
        <v>WP SERWISY PREMIUM: SG + ROS (MOBILE)¹</v>
      </c>
      <c r="G127" s="922"/>
      <c r="H127" s="922"/>
      <c r="I127" s="922" t="str">
        <f>IF('Język - Language'!$B$30="Polski","CZAS EMISJI","TIME")</f>
        <v>CZAS EMISJI</v>
      </c>
      <c r="J127" s="922" t="str">
        <f>IF('Język - Language'!$B$30="Polski","CENA RC","RC PRICE")</f>
        <v>CENA RC</v>
      </c>
      <c r="K127" s="923"/>
    </row>
    <row r="128" spans="1:19" s="724" customFormat="1" ht="12.75" customHeight="1">
      <c r="B128" s="922"/>
      <c r="C128" s="922"/>
      <c r="D128" s="922"/>
      <c r="E128" s="922"/>
      <c r="F128" s="922"/>
      <c r="G128" s="922"/>
      <c r="H128" s="922"/>
      <c r="I128" s="922"/>
      <c r="J128" s="746" t="str">
        <f>IF('Język - Language'!$B$30="Polski","styczeń-wrzesień","Jan-Sep")</f>
        <v>styczeń-wrzesień</v>
      </c>
      <c r="K128" s="774" t="str">
        <f>IF('Język - Language'!$B$30="Polski","październik-grudzień","Oct-Dec")</f>
        <v>październik-grudzień</v>
      </c>
    </row>
    <row r="129" spans="1:18" s="218" customFormat="1" ht="25.5" customHeight="1">
      <c r="A129" s="151"/>
      <c r="B129" s="932" t="str">
        <f>IF('Język - Language'!$B$30="Polski","Double Billboard lub Wideboard 3/uu","Double Billboard or Wideboard 3/uu")</f>
        <v>Double Billboard lub Wideboard 3/uu</v>
      </c>
      <c r="C129" s="933"/>
      <c r="D129" s="933"/>
      <c r="E129" s="934"/>
      <c r="F129" s="903" t="str">
        <f>IF('Język - Language'!$B$30="Polski","Banner skalowalny 3/uu","Adjusted Banner 3/uu")</f>
        <v>Banner skalowalny 3/uu</v>
      </c>
      <c r="G129" s="903"/>
      <c r="H129" s="931"/>
      <c r="I129" s="166" t="s">
        <v>218</v>
      </c>
      <c r="J129" s="816">
        <v>230000</v>
      </c>
      <c r="K129" s="677">
        <v>280000</v>
      </c>
    </row>
    <row r="130" spans="1:18" s="218" customFormat="1" ht="25.5" customHeight="1">
      <c r="A130" s="151"/>
      <c r="B130" s="900" t="str">
        <f>IF('Język - Language'!$B$30="Polski","Screening 1/uu + DBB/Wideboard 2/uu","Screening 1/uu + DBB/Wideboard 2/uu")</f>
        <v>Screening 1/uu + DBB/Wideboard 2/uu</v>
      </c>
      <c r="C130" s="901"/>
      <c r="D130" s="901"/>
      <c r="E130" s="902"/>
      <c r="F130" s="911" t="str">
        <f>IF('Język - Language'!$B$30="Polski","Rectangle/Banner skalowalny XL 1/uu + Banner skalowalny 2/uu²","Rectangle/Adjusted Banner XL 1/uu + Adjusted Banner 2/uu²")</f>
        <v>Rectangle/Banner skalowalny XL 1/uu + Banner skalowalny 2/uu²</v>
      </c>
      <c r="G130" s="912"/>
      <c r="H130" s="913"/>
      <c r="I130" s="226" t="s">
        <v>218</v>
      </c>
      <c r="J130" s="816">
        <v>270000</v>
      </c>
      <c r="K130" s="677">
        <v>325000</v>
      </c>
    </row>
    <row r="131" spans="1:18" s="218" customFormat="1" ht="25.5" customHeight="1">
      <c r="A131" s="151"/>
      <c r="B131" s="904" t="str">
        <f>IF('Język - Language'!$B$30="Polski","Gigaboard 1/uu + Double Billboard/Wideboard 2/uu","Gigaboard 1/uu + Double Billboard/Wideboard 2/uu")</f>
        <v>Gigaboard 1/uu + Double Billboard/Wideboard 2/uu</v>
      </c>
      <c r="C131" s="905"/>
      <c r="D131" s="905"/>
      <c r="E131" s="906"/>
      <c r="F131" s="920" t="str">
        <f>IF('Język - Language'!$B$30="Polski","Rectangle/Banner skalowalny XL 1/uu + Banner skalowalny 2/uu","Rectangle/Adjusted Banner XL 1/uu + Adjusted Banner 2/uu")</f>
        <v>Rectangle/Banner skalowalny XL 1/uu + Banner skalowalny 2/uu</v>
      </c>
      <c r="G131" s="921"/>
      <c r="H131" s="936"/>
      <c r="I131" s="368" t="s">
        <v>218</v>
      </c>
      <c r="J131" s="817">
        <v>310000</v>
      </c>
      <c r="K131" s="793">
        <v>375000</v>
      </c>
    </row>
    <row r="132" spans="1:18" s="218" customFormat="1" ht="13.5" customHeight="1">
      <c r="A132" s="216"/>
      <c r="B132" s="684" t="s">
        <v>279</v>
      </c>
      <c r="C132" s="685"/>
      <c r="D132" s="685"/>
      <c r="E132" s="685"/>
      <c r="F132" s="132"/>
      <c r="G132" s="132"/>
      <c r="H132" s="132"/>
      <c r="I132" s="518"/>
      <c r="J132" s="519"/>
      <c r="K132" s="784"/>
    </row>
    <row r="133" spans="1:18" s="218" customFormat="1" ht="13.5" customHeight="1">
      <c r="A133" s="216"/>
      <c r="B133" s="645"/>
      <c r="C133" s="645"/>
      <c r="D133" s="645"/>
      <c r="E133" s="645"/>
      <c r="F133" s="645"/>
      <c r="G133" s="645"/>
      <c r="H133" s="645"/>
      <c r="I133" s="358"/>
      <c r="J133" s="367"/>
    </row>
    <row r="134" spans="1:18">
      <c r="G134" s="786"/>
      <c r="H134" s="786"/>
      <c r="I134" s="786"/>
      <c r="J134" s="786"/>
    </row>
    <row r="135" spans="1:18" s="58" customFormat="1" ht="25.5" customHeight="1">
      <c r="A135" s="218"/>
      <c r="B135" s="143"/>
      <c r="C135" s="907" t="str">
        <f>IF('Język - Language'!$B$30="Polski","DNIÓWKI TEMATYCZNE","DAILY THEMATIC EMISSION")</f>
        <v>DNIÓWKI TEMATYCZNE</v>
      </c>
      <c r="D135" s="907" t="str">
        <f>IF('Język - Language'!$B$30="Polski","MIEJSCE EMISJI","PLACE OF EMISSION")</f>
        <v>MIEJSCE EMISJI</v>
      </c>
      <c r="E135" s="907"/>
      <c r="F135" s="908" t="str">
        <f>IF('Język - Language'!$B$30="Polski","MODEL EMISJI","MODEL OF EMISSION")</f>
        <v>MODEL EMISJI</v>
      </c>
      <c r="G135" s="907" t="str">
        <f>IF('Język - Language'!$B$30="Polski","DOUBLE BILLBOARD LUB HALFPAGE 3/uu (DESKTOP/TABLET)","DOUBLE BILLBOARD OR HALFPAGE 3/uu (DESKTOP/TABLET)")</f>
        <v>DOUBLE BILLBOARD LUB HALFPAGE 3/uu (DESKTOP/TABLET)</v>
      </c>
      <c r="H135" s="908"/>
      <c r="I135" s="907" t="str">
        <f>IF('Język - Language'!$B$30="Polski","SCREENING 200 1/uu + DOUBLE BILLBOARD 2/uu (DESKTOP/TABLET)¹","SCREENING 200 1/uu + DOUBLE BILLBOARD 2/uu (DESKTOP/TABLET)¹")</f>
        <v>SCREENING 200 1/uu + DOUBLE BILLBOARD 2/uu (DESKTOP/TABLET)¹</v>
      </c>
      <c r="J135" s="908"/>
      <c r="K135" s="218"/>
      <c r="L135" s="18"/>
      <c r="M135" s="5"/>
      <c r="N135" s="26"/>
      <c r="O135" s="216"/>
      <c r="P135" s="216"/>
      <c r="Q135" s="216"/>
      <c r="R135" s="218"/>
    </row>
    <row r="136" spans="1:18" s="107" customFormat="1" ht="25.5" customHeight="1">
      <c r="A136" s="218"/>
      <c r="B136" s="144"/>
      <c r="C136" s="907"/>
      <c r="D136" s="907"/>
      <c r="E136" s="907"/>
      <c r="F136" s="908"/>
      <c r="G136" s="974" t="str">
        <f>IF('Język - Language'!$B$30="Polski","BANNER SKALOWALNY 3/uu (MOBILE)","ADJUSTED BANNER 3/uu (MOBILE)")</f>
        <v>BANNER SKALOWALNY 3/uu (MOBILE)</v>
      </c>
      <c r="H136" s="975"/>
      <c r="I136" s="974" t="str">
        <f>IF('Język - Language'!$B$30="Polski","RECTANGLE/BANNER SKALOWALNY XL 1/uu + BANNER SKALOWALNY 2/uu (MOBILE)²","BANNER XL 1/uu + ADJUSTED BANNER 2/uu (MOBILE)²")</f>
        <v>RECTANGLE/BANNER SKALOWALNY XL 1/uu + BANNER SKALOWALNY 2/uu (MOBILE)²</v>
      </c>
      <c r="J136" s="975"/>
      <c r="K136" s="218"/>
      <c r="L136" s="18"/>
      <c r="M136" s="5"/>
      <c r="N136" s="26"/>
      <c r="O136" s="216"/>
      <c r="P136" s="216"/>
      <c r="Q136" s="216"/>
      <c r="R136" s="218"/>
    </row>
    <row r="137" spans="1:18" s="724" customFormat="1" ht="12.75" customHeight="1">
      <c r="B137" s="738"/>
      <c r="C137" s="907"/>
      <c r="D137" s="907"/>
      <c r="E137" s="907"/>
      <c r="F137" s="908"/>
      <c r="G137" s="927" t="s">
        <v>295</v>
      </c>
      <c r="H137" s="928"/>
      <c r="I137" s="927" t="s">
        <v>295</v>
      </c>
      <c r="J137" s="928"/>
      <c r="L137" s="18"/>
      <c r="M137" s="5"/>
      <c r="N137" s="26"/>
      <c r="O137" s="725"/>
      <c r="P137" s="725"/>
      <c r="Q137" s="725"/>
    </row>
    <row r="138" spans="1:18" s="724" customFormat="1" ht="12.75" customHeight="1">
      <c r="B138" s="144"/>
      <c r="C138" s="977"/>
      <c r="D138" s="977"/>
      <c r="E138" s="977"/>
      <c r="F138" s="976"/>
      <c r="G138" s="773" t="str">
        <f>IF('Język - Language'!$B$30="Polski","styczeń-wrzesień","Jan-Sep")</f>
        <v>styczeń-wrzesień</v>
      </c>
      <c r="H138" s="774" t="str">
        <f>IF('Język - Language'!$B$30="Polski","październik-grudzień","Oct-Dec")</f>
        <v>październik-grudzień</v>
      </c>
      <c r="I138" s="773" t="str">
        <f>IF('Język - Language'!$B$30="Polski","styczeń-wrzesień","Jan-Sep")</f>
        <v>styczeń-wrzesień</v>
      </c>
      <c r="J138" s="774" t="str">
        <f>IF('Język - Language'!$B$30="Polski","październik-grudzień","Oct-Dec")</f>
        <v>październik-grudzień</v>
      </c>
      <c r="L138" s="18"/>
      <c r="M138" s="5"/>
      <c r="N138" s="26"/>
      <c r="O138" s="725"/>
      <c r="P138" s="725"/>
      <c r="Q138" s="725"/>
    </row>
    <row r="139" spans="1:18" s="58" customFormat="1" ht="25.5" customHeight="1">
      <c r="A139" s="218"/>
      <c r="B139" s="929" t="str">
        <f>IF('Język - Language'!$B$30="Polski","Biznes","Business")</f>
        <v>Biznes</v>
      </c>
      <c r="C139" s="930"/>
      <c r="D139" s="929" t="s">
        <v>184</v>
      </c>
      <c r="E139" s="930"/>
      <c r="F139" s="735" t="str">
        <f>IF('Język - Language'!$B$30="Polski","łączny cap3xuu / dzień","cap3xuu (total 3 page views / day)")</f>
        <v>łączny cap3xuu / dzień</v>
      </c>
      <c r="G139" s="787">
        <v>200000</v>
      </c>
      <c r="H139" s="790">
        <f>G139+(G139*0.2)</f>
        <v>240000</v>
      </c>
      <c r="I139" s="787">
        <v>230000</v>
      </c>
      <c r="J139" s="790">
        <v>275000</v>
      </c>
      <c r="K139" s="218"/>
      <c r="L139" s="17"/>
      <c r="M139" s="5"/>
      <c r="N139" s="26"/>
      <c r="O139" s="216"/>
      <c r="P139" s="216"/>
      <c r="Q139" s="216"/>
      <c r="R139" s="218"/>
    </row>
    <row r="140" spans="1:18" s="58" customFormat="1" ht="25.5" customHeight="1">
      <c r="B140" s="911" t="str">
        <f>IF('Język - Language'!$B$30="Polski","Wiadomości","News")</f>
        <v>Wiadomości</v>
      </c>
      <c r="C140" s="913"/>
      <c r="D140" s="911" t="s">
        <v>5</v>
      </c>
      <c r="E140" s="913"/>
      <c r="F140" s="739" t="str">
        <f>IF('Język - Language'!$B$30="Polski","łączny cap3xuu / dzień","cap3xuu (total 3 page views / day)")</f>
        <v>łączny cap3xuu / dzień</v>
      </c>
      <c r="G140" s="788">
        <v>210000</v>
      </c>
      <c r="H140" s="791">
        <v>250000</v>
      </c>
      <c r="I140" s="788">
        <v>240000</v>
      </c>
      <c r="J140" s="791">
        <v>285000</v>
      </c>
      <c r="K140" s="218"/>
      <c r="L140" s="17"/>
      <c r="M140" s="5"/>
      <c r="N140" s="26"/>
      <c r="O140" s="216"/>
      <c r="P140" s="216"/>
    </row>
    <row r="141" spans="1:18" s="58" customFormat="1" ht="25.5" customHeight="1">
      <c r="B141" s="911" t="str">
        <f>IF('Język - Language'!$B$30="Polski","Motoryzacja","Moto")</f>
        <v>Motoryzacja</v>
      </c>
      <c r="C141" s="913"/>
      <c r="D141" s="911" t="s">
        <v>182</v>
      </c>
      <c r="E141" s="912"/>
      <c r="F141" s="740" t="str">
        <f>IF('Język - Language'!$B$30="Polski","łączny cap3xuu / dzień","cap3xuu (total 3 page views / day)")</f>
        <v>łączny cap3xuu / dzień</v>
      </c>
      <c r="G141" s="788">
        <v>60000</v>
      </c>
      <c r="H141" s="791">
        <v>70000</v>
      </c>
      <c r="I141" s="788">
        <v>70000</v>
      </c>
      <c r="J141" s="791">
        <v>85000</v>
      </c>
      <c r="K141" s="218"/>
      <c r="L141" s="17"/>
      <c r="M141" s="5"/>
      <c r="N141" s="26"/>
      <c r="O141" s="216"/>
      <c r="P141" s="216"/>
    </row>
    <row r="142" spans="1:18" s="186" customFormat="1" ht="25.5" customHeight="1">
      <c r="B142" s="911" t="s">
        <v>6</v>
      </c>
      <c r="C142" s="913"/>
      <c r="D142" s="911" t="s">
        <v>236</v>
      </c>
      <c r="E142" s="913"/>
      <c r="F142" s="740" t="str">
        <f>IF('Język - Language'!$B$30="Polski","łączny cap3xuu / dzień","cap3xuu (total 3 page views / day)")</f>
        <v>łączny cap3xuu / dzień</v>
      </c>
      <c r="G142" s="788">
        <v>70000</v>
      </c>
      <c r="H142" s="791">
        <v>85000</v>
      </c>
      <c r="I142" s="788">
        <v>80000</v>
      </c>
      <c r="J142" s="791">
        <v>95000</v>
      </c>
      <c r="K142" s="218"/>
      <c r="L142" s="17"/>
      <c r="M142" s="5"/>
      <c r="N142" s="26"/>
      <c r="O142" s="216"/>
      <c r="P142" s="216"/>
    </row>
    <row r="143" spans="1:18" s="58" customFormat="1" ht="25.5" customHeight="1">
      <c r="B143" s="911" t="str">
        <f>IF('Język - Language'!$B$30="Polski","Kobieta","Woman")</f>
        <v>Kobieta</v>
      </c>
      <c r="C143" s="913"/>
      <c r="D143" s="911" t="s">
        <v>7</v>
      </c>
      <c r="E143" s="912"/>
      <c r="F143" s="740" t="str">
        <f>IF('Język - Language'!$B$30="Polski","łączny cap3xuu / dzień","cap3xuu (total 3 page views / day)")</f>
        <v>łączny cap3xuu / dzień</v>
      </c>
      <c r="G143" s="788">
        <v>75000</v>
      </c>
      <c r="H143" s="791">
        <f t="shared" ref="H143:H146" si="1">G143+(G143*0.2)</f>
        <v>90000</v>
      </c>
      <c r="I143" s="788">
        <v>85000</v>
      </c>
      <c r="J143" s="791">
        <v>100000</v>
      </c>
      <c r="K143" s="218"/>
      <c r="L143" s="17"/>
      <c r="M143" s="5"/>
      <c r="N143" s="26"/>
      <c r="O143" s="27"/>
      <c r="P143" s="4"/>
    </row>
    <row r="144" spans="1:18" s="106" customFormat="1" ht="25.5" customHeight="1">
      <c r="B144" s="911" t="str">
        <f>IF('Język - Language'!$B$30="Polski","Zdrowie ","Health")</f>
        <v xml:space="preserve">Zdrowie </v>
      </c>
      <c r="C144" s="913"/>
      <c r="D144" s="911" t="s">
        <v>8</v>
      </c>
      <c r="E144" s="912"/>
      <c r="F144" s="740" t="str">
        <f>IF('Język - Language'!$B$30="Polski","łączny cap3xuu / dzień","cap3xuu (total 3 page views / day)")</f>
        <v>łączny cap3xuu / dzień</v>
      </c>
      <c r="G144" s="788">
        <v>165000</v>
      </c>
      <c r="H144" s="791">
        <v>200000</v>
      </c>
      <c r="I144" s="788">
        <v>195000</v>
      </c>
      <c r="J144" s="791">
        <v>235000</v>
      </c>
      <c r="K144" s="218"/>
      <c r="L144" s="17"/>
      <c r="M144" s="5"/>
      <c r="N144" s="26"/>
      <c r="O144" s="27"/>
      <c r="P144" s="4"/>
    </row>
    <row r="145" spans="2:16" s="186" customFormat="1" ht="25.5" customHeight="1">
      <c r="B145" s="911" t="s">
        <v>9</v>
      </c>
      <c r="C145" s="913"/>
      <c r="D145" s="911" t="s">
        <v>280</v>
      </c>
      <c r="E145" s="912"/>
      <c r="F145" s="740" t="str">
        <f>IF('Język - Language'!$B$30="Polski","łączny cap3xuu / dzień","cap3xuu (total 3 page views / day)")</f>
        <v>łączny cap3xuu / dzień</v>
      </c>
      <c r="G145" s="788">
        <v>150000</v>
      </c>
      <c r="H145" s="791">
        <f t="shared" si="1"/>
        <v>180000</v>
      </c>
      <c r="I145" s="788">
        <v>180000</v>
      </c>
      <c r="J145" s="791">
        <v>215000</v>
      </c>
      <c r="K145" s="218"/>
      <c r="L145" s="17"/>
      <c r="M145" s="5"/>
      <c r="N145" s="26"/>
      <c r="O145" s="216"/>
      <c r="P145" s="216"/>
    </row>
    <row r="146" spans="2:16" s="58" customFormat="1" ht="25.5" customHeight="1">
      <c r="B146" s="920" t="str">
        <f>IF('Język - Language'!$B$30="Polski","Turystyka","Travel")</f>
        <v>Turystyka</v>
      </c>
      <c r="C146" s="936"/>
      <c r="D146" s="920" t="s">
        <v>10</v>
      </c>
      <c r="E146" s="921"/>
      <c r="F146" s="741" t="str">
        <f>IF('Język - Language'!$B$30="Polski","łączny cap3xuu / dzień","cap3xuu (total 3 page views / day)")</f>
        <v>łączny cap3xuu / dzień</v>
      </c>
      <c r="G146" s="789">
        <v>25000</v>
      </c>
      <c r="H146" s="792">
        <f t="shared" si="1"/>
        <v>30000</v>
      </c>
      <c r="I146" s="789">
        <v>35000</v>
      </c>
      <c r="J146" s="792">
        <v>45000</v>
      </c>
      <c r="K146" s="218"/>
      <c r="L146" s="17"/>
      <c r="M146" s="71"/>
      <c r="N146" s="216"/>
      <c r="O146" s="216"/>
      <c r="P146" s="216"/>
    </row>
    <row r="147" spans="2:16" s="218" customFormat="1">
      <c r="B147" s="137" t="str">
        <f>IF('Język - Language'!$B$30="Polski","¹ wymiary tapety w zależności do serwisu mogą się różnić","¹ Wallpaper dimensions may vary depending on the site")</f>
        <v>¹ wymiary tapety w zależności do serwisu mogą się różnić</v>
      </c>
      <c r="C147" s="137"/>
      <c r="D147" s="137"/>
      <c r="E147" s="137"/>
      <c r="F147" s="137"/>
      <c r="G147" s="137"/>
      <c r="H147" s="137"/>
      <c r="I147" s="137"/>
      <c r="J147" s="140"/>
    </row>
    <row r="148" spans="2:16">
      <c r="B148" s="137" t="str">
        <f>IF('Język - Language'!$B$30="Polski","² format dostępny na wybranych serwisach mobile: Pudelek, WP Money, WP Sportowefakty, o2, Serwisy Premium WPM, abcZdrowie i Parenting (tylko strony artykułowe)","² available on the selected mobile services")</f>
        <v>² format dostępny na wybranych serwisach mobile: Pudelek, WP Money, WP Sportowefakty, o2, Serwisy Premium WPM, abcZdrowie i Parenting (tylko strony artykułowe)</v>
      </c>
      <c r="C148" s="141"/>
      <c r="D148" s="141"/>
      <c r="E148" s="141"/>
      <c r="F148" s="141"/>
      <c r="G148" s="141"/>
      <c r="H148" s="141"/>
      <c r="I148" s="141"/>
      <c r="J148" s="142"/>
      <c r="K148" s="218"/>
      <c r="L148" s="218"/>
      <c r="M148" s="218"/>
      <c r="N148" s="218"/>
      <c r="O148" s="218"/>
      <c r="P148" s="218"/>
    </row>
  </sheetData>
  <mergeCells count="210">
    <mergeCell ref="I97:I98"/>
    <mergeCell ref="C37:E37"/>
    <mergeCell ref="C38:E38"/>
    <mergeCell ref="F89:H89"/>
    <mergeCell ref="F59:H59"/>
    <mergeCell ref="F56:H56"/>
    <mergeCell ref="F55:H55"/>
    <mergeCell ref="F91:H91"/>
    <mergeCell ref="F88:H88"/>
    <mergeCell ref="B88:E88"/>
    <mergeCell ref="B90:E90"/>
    <mergeCell ref="F92:H92"/>
    <mergeCell ref="F90:H90"/>
    <mergeCell ref="B86:E87"/>
    <mergeCell ref="F86:H87"/>
    <mergeCell ref="I86:I87"/>
    <mergeCell ref="B82:E82"/>
    <mergeCell ref="F82:H82"/>
    <mergeCell ref="F85:H85"/>
    <mergeCell ref="F68:H69"/>
    <mergeCell ref="F72:H72"/>
    <mergeCell ref="J80:K80"/>
    <mergeCell ref="J86:K86"/>
    <mergeCell ref="I83:I85"/>
    <mergeCell ref="F84:H84"/>
    <mergeCell ref="F50:H50"/>
    <mergeCell ref="J68:K68"/>
    <mergeCell ref="B71:E71"/>
    <mergeCell ref="F71:H71"/>
    <mergeCell ref="F74:H74"/>
    <mergeCell ref="B83:E83"/>
    <mergeCell ref="B84:E84"/>
    <mergeCell ref="F80:H81"/>
    <mergeCell ref="I80:I81"/>
    <mergeCell ref="C26:E26"/>
    <mergeCell ref="J97:K97"/>
    <mergeCell ref="I53:I54"/>
    <mergeCell ref="F51:H51"/>
    <mergeCell ref="I68:I69"/>
    <mergeCell ref="C56:E56"/>
    <mergeCell ref="C57:E57"/>
    <mergeCell ref="F73:H73"/>
    <mergeCell ref="B68:E69"/>
    <mergeCell ref="B49:B52"/>
    <mergeCell ref="B58:B59"/>
    <mergeCell ref="B80:E81"/>
    <mergeCell ref="B74:E74"/>
    <mergeCell ref="B72:E72"/>
    <mergeCell ref="B85:E85"/>
    <mergeCell ref="C58:E58"/>
    <mergeCell ref="C59:E59"/>
    <mergeCell ref="C53:E54"/>
    <mergeCell ref="B92:E92"/>
    <mergeCell ref="B91:E91"/>
    <mergeCell ref="F83:H83"/>
    <mergeCell ref="I88:I92"/>
    <mergeCell ref="C55:E55"/>
    <mergeCell ref="F52:H52"/>
    <mergeCell ref="F31:H31"/>
    <mergeCell ref="C34:E34"/>
    <mergeCell ref="B12:B17"/>
    <mergeCell ref="C24:E24"/>
    <mergeCell ref="B18:B23"/>
    <mergeCell ref="F16:H16"/>
    <mergeCell ref="C16:E16"/>
    <mergeCell ref="C14:E14"/>
    <mergeCell ref="F24:H24"/>
    <mergeCell ref="B24:B29"/>
    <mergeCell ref="C13:E13"/>
    <mergeCell ref="F13:H13"/>
    <mergeCell ref="C25:E25"/>
    <mergeCell ref="F25:H25"/>
    <mergeCell ref="C22:E22"/>
    <mergeCell ref="F18:H18"/>
    <mergeCell ref="F19:H19"/>
    <mergeCell ref="F20:H20"/>
    <mergeCell ref="F22:H22"/>
    <mergeCell ref="C23:K23"/>
    <mergeCell ref="C21:E21"/>
    <mergeCell ref="F21:H21"/>
    <mergeCell ref="C27:E27"/>
    <mergeCell ref="F27:H27"/>
    <mergeCell ref="C33:E33"/>
    <mergeCell ref="F34:H34"/>
    <mergeCell ref="G1:K3"/>
    <mergeCell ref="C7:E8"/>
    <mergeCell ref="F7:H8"/>
    <mergeCell ref="C12:E12"/>
    <mergeCell ref="F36:H36"/>
    <mergeCell ref="F35:H35"/>
    <mergeCell ref="F26:H26"/>
    <mergeCell ref="C17:K17"/>
    <mergeCell ref="J7:K7"/>
    <mergeCell ref="F9:H9"/>
    <mergeCell ref="C9:E9"/>
    <mergeCell ref="F28:H28"/>
    <mergeCell ref="F12:H12"/>
    <mergeCell ref="F14:H14"/>
    <mergeCell ref="C28:E28"/>
    <mergeCell ref="I7:I8"/>
    <mergeCell ref="C15:E15"/>
    <mergeCell ref="F15:H15"/>
    <mergeCell ref="F10:H10"/>
    <mergeCell ref="C11:E11"/>
    <mergeCell ref="F11:H11"/>
    <mergeCell ref="F32:H32"/>
    <mergeCell ref="C10:E10"/>
    <mergeCell ref="B124:E124"/>
    <mergeCell ref="B89:E89"/>
    <mergeCell ref="C29:K29"/>
    <mergeCell ref="B143:C143"/>
    <mergeCell ref="D140:E140"/>
    <mergeCell ref="D141:E141"/>
    <mergeCell ref="B141:C141"/>
    <mergeCell ref="D139:E139"/>
    <mergeCell ref="I136:J136"/>
    <mergeCell ref="G136:H136"/>
    <mergeCell ref="B142:C142"/>
    <mergeCell ref="D142:E142"/>
    <mergeCell ref="F135:F138"/>
    <mergeCell ref="D135:E138"/>
    <mergeCell ref="C135:C138"/>
    <mergeCell ref="G137:H137"/>
    <mergeCell ref="C18:E18"/>
    <mergeCell ref="C19:E19"/>
    <mergeCell ref="C20:E20"/>
    <mergeCell ref="J46:K46"/>
    <mergeCell ref="J53:K53"/>
    <mergeCell ref="I46:I47"/>
    <mergeCell ref="F49:H49"/>
    <mergeCell ref="B99:E99"/>
    <mergeCell ref="B97:E98"/>
    <mergeCell ref="F97:H98"/>
    <mergeCell ref="D146:E146"/>
    <mergeCell ref="B146:C146"/>
    <mergeCell ref="B144:C144"/>
    <mergeCell ref="B145:C145"/>
    <mergeCell ref="D144:E144"/>
    <mergeCell ref="D143:E143"/>
    <mergeCell ref="D145:E145"/>
    <mergeCell ref="B30:B36"/>
    <mergeCell ref="B73:E73"/>
    <mergeCell ref="F57:H57"/>
    <mergeCell ref="F58:H58"/>
    <mergeCell ref="B70:E70"/>
    <mergeCell ref="F70:H70"/>
    <mergeCell ref="C32:E32"/>
    <mergeCell ref="C36:E36"/>
    <mergeCell ref="B37:B38"/>
    <mergeCell ref="F46:H47"/>
    <mergeCell ref="F53:H54"/>
    <mergeCell ref="C51:E51"/>
    <mergeCell ref="C52:E52"/>
    <mergeCell ref="C35:E35"/>
    <mergeCell ref="C30:E31"/>
    <mergeCell ref="F38:H38"/>
    <mergeCell ref="F48:H48"/>
    <mergeCell ref="C46:E47"/>
    <mergeCell ref="C48:E48"/>
    <mergeCell ref="C49:E49"/>
    <mergeCell ref="C50:E50"/>
    <mergeCell ref="F33:H33"/>
    <mergeCell ref="F30:H30"/>
    <mergeCell ref="F37:H37"/>
    <mergeCell ref="I137:J137"/>
    <mergeCell ref="I135:J135"/>
    <mergeCell ref="B140:C140"/>
    <mergeCell ref="B139:C139"/>
    <mergeCell ref="F110:H110"/>
    <mergeCell ref="B110:E110"/>
    <mergeCell ref="B109:E109"/>
    <mergeCell ref="F109:H109"/>
    <mergeCell ref="B129:E129"/>
    <mergeCell ref="F129:H129"/>
    <mergeCell ref="B130:E130"/>
    <mergeCell ref="F130:H130"/>
    <mergeCell ref="B131:E131"/>
    <mergeCell ref="F131:H131"/>
    <mergeCell ref="B115:E116"/>
    <mergeCell ref="B111:E111"/>
    <mergeCell ref="B112:E112"/>
    <mergeCell ref="B127:E128"/>
    <mergeCell ref="F127:H128"/>
    <mergeCell ref="I127:I128"/>
    <mergeCell ref="F113:H114"/>
    <mergeCell ref="F115:H116"/>
    <mergeCell ref="F124:H124"/>
    <mergeCell ref="B113:E114"/>
    <mergeCell ref="J107:K107"/>
    <mergeCell ref="J113:K113"/>
    <mergeCell ref="B100:E100"/>
    <mergeCell ref="F100:H100"/>
    <mergeCell ref="B102:E102"/>
    <mergeCell ref="G135:H135"/>
    <mergeCell ref="B101:E101"/>
    <mergeCell ref="F101:H101"/>
    <mergeCell ref="F111:H111"/>
    <mergeCell ref="F112:H112"/>
    <mergeCell ref="B123:E123"/>
    <mergeCell ref="F123:H123"/>
    <mergeCell ref="F102:H102"/>
    <mergeCell ref="J127:K127"/>
    <mergeCell ref="J121:K121"/>
    <mergeCell ref="I107:I108"/>
    <mergeCell ref="I113:I114"/>
    <mergeCell ref="B121:E122"/>
    <mergeCell ref="F121:H122"/>
    <mergeCell ref="I121:I122"/>
    <mergeCell ref="B107:E108"/>
    <mergeCell ref="F107:H108"/>
  </mergeCells>
  <pageMargins left="0.7" right="0.7" top="0.75" bottom="0.75" header="0.3" footer="0.3"/>
  <pageSetup paperSize="256" orientation="landscape" r:id="rId1"/>
  <ignoredErrors>
    <ignoredError sqref="F49"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sheetPr>
  <dimension ref="A1:R91"/>
  <sheetViews>
    <sheetView zoomScaleNormal="100" workbookViewId="0">
      <pane ySplit="4" topLeftCell="A5" activePane="bottomLeft" state="frozen"/>
      <selection pane="bottomLeft" activeCell="A6" sqref="A6"/>
    </sheetView>
  </sheetViews>
  <sheetFormatPr defaultColWidth="9.140625" defaultRowHeight="15"/>
  <cols>
    <col min="1" max="2" width="2.85546875" style="356" customWidth="1"/>
    <col min="3" max="3" width="28.5703125" style="356" customWidth="1"/>
    <col min="4" max="4" width="24.28515625" style="356" customWidth="1"/>
    <col min="5" max="8" width="27.85546875" style="356" customWidth="1"/>
    <col min="9" max="11" width="12.85546875" style="356" customWidth="1"/>
    <col min="12" max="13" width="25.7109375" style="356" customWidth="1"/>
    <col min="14" max="14" width="29.28515625" style="356" customWidth="1"/>
    <col min="15" max="15" width="22.85546875" style="356" customWidth="1"/>
    <col min="16" max="16" width="14.28515625" style="356" customWidth="1"/>
    <col min="17" max="16384" width="9.140625" style="356"/>
  </cols>
  <sheetData>
    <row r="1" spans="1:18" ht="12.75" customHeight="1">
      <c r="A1" s="356" t="s">
        <v>115</v>
      </c>
      <c r="E1" s="881" t="str">
        <f>IF('Język - Language'!$B$30="Polski",CONCATENATE("Cennik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F1" s="881"/>
      <c r="G1" s="881"/>
      <c r="H1" s="686"/>
      <c r="K1" s="220"/>
      <c r="L1" s="220"/>
      <c r="M1" s="220"/>
      <c r="N1" s="220"/>
      <c r="O1" s="220"/>
    </row>
    <row r="2" spans="1:18" ht="12.75" customHeight="1">
      <c r="E2" s="881"/>
      <c r="F2" s="881"/>
      <c r="G2" s="881"/>
      <c r="H2" s="686"/>
      <c r="I2" s="220"/>
      <c r="J2" s="220"/>
      <c r="K2" s="220"/>
      <c r="L2" s="220"/>
      <c r="M2" s="220"/>
      <c r="N2" s="220"/>
      <c r="O2" s="220"/>
    </row>
    <row r="3" spans="1:18" ht="12.75" customHeight="1">
      <c r="E3" s="881"/>
      <c r="F3" s="881"/>
      <c r="G3" s="881"/>
      <c r="H3" s="686"/>
      <c r="I3" s="220"/>
      <c r="J3" s="220"/>
      <c r="K3" s="220"/>
      <c r="L3" s="220"/>
      <c r="M3" s="220"/>
      <c r="N3" s="220"/>
      <c r="O3" s="220"/>
    </row>
    <row r="4" spans="1:18" s="227" customFormat="1" ht="12.75" customHeight="1">
      <c r="C4" s="228" t="str">
        <f>IF('Język - Language'!$B$30="Polski","            Reklama mobilna","            Mobile Advertising")</f>
        <v xml:space="preserve">            Reklama mobilna</v>
      </c>
      <c r="D4" s="228"/>
      <c r="G4" s="215" t="str">
        <f>IF('Język - Language'!$B$30="Polski","PL","EN")</f>
        <v>PL</v>
      </c>
      <c r="H4" s="692"/>
    </row>
    <row r="5" spans="1:18" ht="12.75" customHeight="1"/>
    <row r="6" spans="1:18" ht="12.75" customHeight="1"/>
    <row r="7" spans="1:18" s="218" customFormat="1" ht="12.75" customHeight="1">
      <c r="C7" s="907" t="s">
        <v>283</v>
      </c>
      <c r="D7" s="907"/>
      <c r="E7" s="907" t="str">
        <f>IF('Język - Language'!$B$30="Polski","MODEL EMISJI","MODEL OF EMISSION")</f>
        <v>MODEL EMISJI</v>
      </c>
      <c r="F7" s="907" t="str">
        <f>IF('Język - Language'!$B$30="Polski","CENA RC","PRICE")</f>
        <v>CENA RC</v>
      </c>
      <c r="G7" s="908"/>
      <c r="H7" s="704"/>
      <c r="I7" s="1047"/>
      <c r="J7" s="1047"/>
      <c r="K7" s="709"/>
      <c r="L7" s="112"/>
      <c r="M7" s="112"/>
      <c r="N7" s="216"/>
      <c r="O7" s="216"/>
      <c r="P7" s="216"/>
      <c r="Q7" s="216"/>
      <c r="R7" s="216"/>
    </row>
    <row r="8" spans="1:18" s="218" customFormat="1" ht="12.75" customHeight="1">
      <c r="C8" s="977"/>
      <c r="D8" s="977"/>
      <c r="E8" s="977"/>
      <c r="F8" s="693" t="str">
        <f>IF('Język - Language'!$B$30="Polski","styczeń-wrzesień","Jan-Sep")</f>
        <v>styczeń-wrzesień</v>
      </c>
      <c r="G8" s="721" t="str">
        <f>IF('Język - Language'!$B$30="Polski","październik-grudzień","Oct-Dec")</f>
        <v>październik-grudzień</v>
      </c>
      <c r="H8" s="705"/>
      <c r="I8" s="705"/>
      <c r="J8" s="705"/>
      <c r="K8" s="705"/>
      <c r="L8" s="7"/>
      <c r="M8" s="24"/>
      <c r="N8" s="216"/>
      <c r="O8" s="216"/>
      <c r="P8" s="216"/>
      <c r="Q8" s="216"/>
      <c r="R8" s="216"/>
    </row>
    <row r="9" spans="1:18" s="218" customFormat="1" ht="25.5" customHeight="1">
      <c r="B9" s="1041" t="s">
        <v>228</v>
      </c>
      <c r="C9" s="929" t="s">
        <v>252</v>
      </c>
      <c r="D9" s="930"/>
      <c r="E9" s="577" t="str">
        <f>IF('Język - Language'!$B$30="Polski","Flat Fee / dzień","Flat Fee / 1 day")</f>
        <v>Flat Fee / dzień</v>
      </c>
      <c r="F9" s="697">
        <v>265000</v>
      </c>
      <c r="G9" s="742">
        <v>320000</v>
      </c>
      <c r="H9" s="706"/>
      <c r="I9" s="706"/>
      <c r="J9" s="707"/>
      <c r="K9" s="707"/>
      <c r="L9" s="707"/>
      <c r="M9" s="707"/>
      <c r="N9" s="216"/>
      <c r="O9" s="216"/>
      <c r="P9" s="216"/>
      <c r="Q9" s="216"/>
      <c r="R9" s="216"/>
    </row>
    <row r="10" spans="1:18" s="218" customFormat="1" ht="25.5" customHeight="1">
      <c r="B10" s="1041"/>
      <c r="C10" s="914" t="s">
        <v>250</v>
      </c>
      <c r="D10" s="916"/>
      <c r="E10" s="576" t="s">
        <v>226</v>
      </c>
      <c r="F10" s="694">
        <v>240000</v>
      </c>
      <c r="G10" s="732">
        <v>285000</v>
      </c>
      <c r="H10" s="706"/>
      <c r="I10" s="706"/>
      <c r="J10" s="707"/>
      <c r="K10" s="707"/>
      <c r="L10" s="707"/>
      <c r="M10" s="707"/>
      <c r="N10" s="216"/>
      <c r="O10" s="216"/>
      <c r="P10" s="216"/>
      <c r="Q10" s="216"/>
      <c r="R10" s="216"/>
    </row>
    <row r="11" spans="1:18" s="218" customFormat="1" ht="25.5" customHeight="1">
      <c r="B11" s="1041"/>
      <c r="C11" s="929"/>
      <c r="D11" s="930"/>
      <c r="E11" s="577" t="s">
        <v>227</v>
      </c>
      <c r="F11" s="694">
        <v>115000</v>
      </c>
      <c r="G11" s="732">
        <v>140000</v>
      </c>
      <c r="H11" s="706"/>
      <c r="I11" s="706"/>
      <c r="J11" s="707"/>
      <c r="K11" s="707"/>
      <c r="L11" s="707"/>
      <c r="M11" s="707"/>
      <c r="N11" s="216"/>
      <c r="O11" s="216"/>
      <c r="P11" s="216"/>
      <c r="Q11" s="216"/>
      <c r="R11" s="216"/>
    </row>
    <row r="12" spans="1:18" s="218" customFormat="1" ht="25.5" customHeight="1">
      <c r="B12" s="1041"/>
      <c r="C12" s="914" t="str">
        <f>IF('Język - Language'!$B$30="Polski","Banner okazjonalny WP live (slot x51)","WP live occasional banner")</f>
        <v>Banner okazjonalny WP live (slot x51)</v>
      </c>
      <c r="D12" s="916"/>
      <c r="E12" s="576" t="s">
        <v>226</v>
      </c>
      <c r="F12" s="694">
        <v>210000</v>
      </c>
      <c r="G12" s="732">
        <v>250000</v>
      </c>
      <c r="H12" s="706"/>
      <c r="I12" s="706"/>
      <c r="J12" s="707"/>
      <c r="K12" s="707"/>
      <c r="L12" s="707"/>
      <c r="M12" s="707"/>
      <c r="N12" s="216"/>
      <c r="O12" s="216"/>
      <c r="P12" s="216"/>
      <c r="Q12" s="216"/>
      <c r="R12" s="216"/>
    </row>
    <row r="13" spans="1:18" s="218" customFormat="1" ht="25.5" customHeight="1">
      <c r="B13" s="1041"/>
      <c r="C13" s="929"/>
      <c r="D13" s="930"/>
      <c r="E13" s="577" t="s">
        <v>227</v>
      </c>
      <c r="F13" s="694">
        <v>115000</v>
      </c>
      <c r="G13" s="732">
        <v>140000</v>
      </c>
      <c r="H13" s="708"/>
      <c r="I13" s="1044"/>
      <c r="J13" s="1044"/>
      <c r="K13" s="707"/>
      <c r="L13" s="707"/>
      <c r="M13" s="707"/>
      <c r="N13" s="216"/>
      <c r="O13" s="216"/>
      <c r="P13" s="216"/>
      <c r="Q13" s="216"/>
      <c r="R13" s="216"/>
    </row>
    <row r="14" spans="1:18" s="218" customFormat="1" ht="25.5" customHeight="1">
      <c r="B14" s="1041"/>
      <c r="C14" s="911" t="s">
        <v>246</v>
      </c>
      <c r="D14" s="913"/>
      <c r="E14" s="576" t="s">
        <v>114</v>
      </c>
      <c r="F14" s="694">
        <v>255000</v>
      </c>
      <c r="G14" s="732">
        <v>305000</v>
      </c>
      <c r="H14" s="708"/>
      <c r="I14" s="1044"/>
      <c r="J14" s="1044"/>
      <c r="K14" s="707"/>
      <c r="L14" s="707"/>
      <c r="M14" s="707"/>
      <c r="N14" s="216"/>
      <c r="O14" s="216"/>
      <c r="P14" s="216"/>
      <c r="Q14" s="216"/>
      <c r="R14" s="216"/>
    </row>
    <row r="15" spans="1:18" s="724" customFormat="1" ht="25.5" customHeight="1">
      <c r="B15" s="1042"/>
      <c r="C15" s="914" t="s">
        <v>366</v>
      </c>
      <c r="D15" s="916"/>
      <c r="E15" s="146" t="str">
        <f>IF('Język - Language'!$B$30="Polski","Flat Fee / dzień","Flat Fee / 1 day")</f>
        <v>Flat Fee / dzień</v>
      </c>
      <c r="F15" s="858">
        <v>180000</v>
      </c>
      <c r="G15" s="859">
        <v>220000</v>
      </c>
      <c r="H15" s="857"/>
      <c r="I15" s="857"/>
      <c r="J15" s="857"/>
      <c r="K15" s="707"/>
      <c r="L15" s="707"/>
      <c r="M15" s="707"/>
      <c r="N15" s="725"/>
      <c r="O15" s="725"/>
      <c r="P15" s="725"/>
      <c r="Q15" s="725"/>
      <c r="R15" s="725"/>
    </row>
    <row r="16" spans="1:18" s="724" customFormat="1" ht="12.75" customHeight="1">
      <c r="B16" s="1042"/>
      <c r="C16" s="907" t="s">
        <v>283</v>
      </c>
      <c r="D16" s="907"/>
      <c r="E16" s="907" t="str">
        <f>IF('Język - Language'!$B$30="Polski","MODEL EMISJI","MODEL OF EMISSION")</f>
        <v>MODEL EMISJI</v>
      </c>
      <c r="F16" s="907" t="s">
        <v>333</v>
      </c>
      <c r="G16" s="908"/>
      <c r="H16" s="825"/>
      <c r="I16" s="825"/>
      <c r="J16" s="825"/>
      <c r="K16" s="707"/>
      <c r="L16" s="707"/>
      <c r="M16" s="707"/>
      <c r="N16" s="725"/>
      <c r="O16" s="725"/>
      <c r="P16" s="725"/>
      <c r="Q16" s="725"/>
      <c r="R16" s="725"/>
    </row>
    <row r="17" spans="2:18" s="724" customFormat="1" ht="12.75" customHeight="1">
      <c r="B17" s="1042"/>
      <c r="C17" s="977"/>
      <c r="D17" s="977"/>
      <c r="E17" s="977"/>
      <c r="F17" s="819" t="str">
        <f>IF('Język - Language'!$B$30="Polski","dzień","1 day")</f>
        <v>dzień</v>
      </c>
      <c r="G17" s="818" t="str">
        <f>IF('Język - Language'!$B$30="Polski","tydzień","1 week")</f>
        <v>tydzień</v>
      </c>
      <c r="H17" s="825"/>
      <c r="I17" s="825"/>
      <c r="J17" s="825"/>
      <c r="K17" s="707"/>
      <c r="L17" s="707"/>
      <c r="M17" s="707"/>
      <c r="N17" s="725"/>
      <c r="O17" s="725"/>
      <c r="P17" s="725"/>
      <c r="Q17" s="725"/>
      <c r="R17" s="725"/>
    </row>
    <row r="18" spans="2:18" s="724" customFormat="1" ht="25.5" customHeight="1">
      <c r="B18" s="1042"/>
      <c r="C18" s="953" t="s">
        <v>109</v>
      </c>
      <c r="D18" s="820" t="s">
        <v>108</v>
      </c>
      <c r="E18" s="1033" t="s">
        <v>332</v>
      </c>
      <c r="F18" s="472" t="s">
        <v>338</v>
      </c>
      <c r="G18" s="701" t="s">
        <v>341</v>
      </c>
      <c r="H18" s="825"/>
      <c r="I18" s="825"/>
      <c r="J18" s="825"/>
      <c r="K18" s="707"/>
      <c r="L18" s="707"/>
      <c r="M18" s="707"/>
      <c r="N18" s="725"/>
      <c r="O18" s="725"/>
      <c r="P18" s="725"/>
      <c r="Q18" s="725"/>
      <c r="R18" s="725"/>
    </row>
    <row r="19" spans="2:18" s="724" customFormat="1" ht="25.5" customHeight="1">
      <c r="B19" s="1042"/>
      <c r="C19" s="953"/>
      <c r="D19" s="820" t="s">
        <v>31</v>
      </c>
      <c r="E19" s="1033"/>
      <c r="F19" s="472" t="s">
        <v>337</v>
      </c>
      <c r="G19" s="701" t="s">
        <v>342</v>
      </c>
      <c r="H19" s="825"/>
      <c r="I19" s="825"/>
      <c r="J19" s="825"/>
      <c r="K19" s="707"/>
      <c r="L19" s="707"/>
      <c r="M19" s="707"/>
      <c r="N19" s="725"/>
      <c r="O19" s="725"/>
      <c r="P19" s="725"/>
      <c r="Q19" s="725"/>
      <c r="R19" s="725"/>
    </row>
    <row r="20" spans="2:18" s="724" customFormat="1" ht="25.5" customHeight="1">
      <c r="B20" s="1042"/>
      <c r="C20" s="953"/>
      <c r="D20" s="820" t="s">
        <v>110</v>
      </c>
      <c r="E20" s="1033"/>
      <c r="F20" s="472" t="s">
        <v>339</v>
      </c>
      <c r="G20" s="701" t="s">
        <v>342</v>
      </c>
      <c r="H20" s="825"/>
      <c r="I20" s="825"/>
      <c r="J20" s="825"/>
      <c r="K20" s="707"/>
      <c r="L20" s="707"/>
      <c r="M20" s="707"/>
      <c r="N20" s="725"/>
      <c r="O20" s="725"/>
      <c r="P20" s="725"/>
      <c r="Q20" s="725"/>
      <c r="R20" s="725"/>
    </row>
    <row r="21" spans="2:18" s="724" customFormat="1" ht="25.5" customHeight="1">
      <c r="B21" s="1042"/>
      <c r="C21" s="953"/>
      <c r="D21" s="820" t="s">
        <v>111</v>
      </c>
      <c r="E21" s="1033"/>
      <c r="F21" s="472" t="s">
        <v>339</v>
      </c>
      <c r="G21" s="701" t="s">
        <v>343</v>
      </c>
      <c r="H21" s="825"/>
      <c r="I21" s="825"/>
      <c r="J21" s="825"/>
      <c r="K21" s="707"/>
      <c r="L21" s="707"/>
      <c r="M21" s="707"/>
      <c r="N21" s="725"/>
      <c r="O21" s="725"/>
      <c r="P21" s="725"/>
      <c r="Q21" s="725"/>
      <c r="R21" s="725"/>
    </row>
    <row r="22" spans="2:18" s="724" customFormat="1" ht="25.5" customHeight="1">
      <c r="B22" s="1042"/>
      <c r="C22" s="953"/>
      <c r="D22" s="820" t="s">
        <v>112</v>
      </c>
      <c r="E22" s="1033"/>
      <c r="F22" s="472" t="s">
        <v>340</v>
      </c>
      <c r="G22" s="701" t="s">
        <v>343</v>
      </c>
      <c r="H22" s="825"/>
      <c r="I22" s="825"/>
      <c r="J22" s="825"/>
      <c r="K22" s="707"/>
      <c r="L22" s="707"/>
      <c r="M22" s="707"/>
      <c r="N22" s="725"/>
      <c r="O22" s="725"/>
      <c r="P22" s="725"/>
      <c r="Q22" s="725"/>
      <c r="R22" s="725"/>
    </row>
    <row r="23" spans="2:18" s="724" customFormat="1" ht="25.5" customHeight="1">
      <c r="B23" s="1042"/>
      <c r="C23" s="1008"/>
      <c r="D23" s="823" t="s">
        <v>113</v>
      </c>
      <c r="E23" s="1034"/>
      <c r="F23" s="473" t="s">
        <v>340</v>
      </c>
      <c r="G23" s="702" t="s">
        <v>343</v>
      </c>
      <c r="H23" s="825"/>
      <c r="I23" s="825"/>
      <c r="J23" s="825"/>
      <c r="K23" s="707"/>
      <c r="L23" s="707"/>
      <c r="M23" s="707"/>
      <c r="N23" s="725"/>
      <c r="O23" s="725"/>
      <c r="P23" s="725"/>
      <c r="Q23" s="725"/>
      <c r="R23" s="725"/>
    </row>
    <row r="24" spans="2:18" s="218" customFormat="1" ht="25.5" customHeight="1">
      <c r="B24" s="1042"/>
      <c r="C24" s="277"/>
      <c r="D24" s="277"/>
      <c r="E24" s="710"/>
      <c r="F24" s="691"/>
      <c r="G24" s="713"/>
      <c r="H24" s="706"/>
      <c r="I24" s="706"/>
      <c r="J24" s="706"/>
      <c r="K24" s="707"/>
      <c r="L24" s="707"/>
      <c r="M24" s="707"/>
      <c r="N24" s="216"/>
      <c r="O24" s="216"/>
      <c r="P24" s="216"/>
      <c r="Q24" s="216"/>
      <c r="R24" s="216"/>
    </row>
    <row r="25" spans="2:18" s="218" customFormat="1" ht="12.75" customHeight="1">
      <c r="B25" s="1042"/>
      <c r="C25" s="1029" t="s">
        <v>286</v>
      </c>
      <c r="D25" s="1029"/>
      <c r="E25" s="1029" t="str">
        <f>IF('Język - Language'!$B$30="Polski","MODEL EMISJI","MODEL OF EMISSION")</f>
        <v>MODEL EMISJI</v>
      </c>
      <c r="F25" s="1029" t="str">
        <f>IF('Język - Language'!$B$30="Polski","CENA RC","PRICE")</f>
        <v>CENA RC</v>
      </c>
      <c r="G25" s="1030"/>
      <c r="H25" s="706"/>
      <c r="I25" s="706"/>
      <c r="J25" s="706"/>
      <c r="K25" s="707"/>
      <c r="L25" s="707"/>
      <c r="M25" s="707"/>
      <c r="N25" s="216"/>
      <c r="O25" s="216"/>
      <c r="P25" s="216"/>
      <c r="Q25" s="216"/>
      <c r="R25" s="216"/>
    </row>
    <row r="26" spans="2:18" s="218" customFormat="1" ht="12.75" customHeight="1">
      <c r="B26" s="1042"/>
      <c r="C26" s="1040"/>
      <c r="D26" s="1040"/>
      <c r="E26" s="1040"/>
      <c r="F26" s="752" t="str">
        <f>IF('Język - Language'!$B$30="Polski","styczeń-wrzesień","Jan-Sep")</f>
        <v>styczeń-wrzesień</v>
      </c>
      <c r="G26" s="755" t="str">
        <f>IF('Język - Language'!$B$30="Polski","październik-grudzień","Oct-Dec")</f>
        <v>październik-grudzień</v>
      </c>
      <c r="H26" s="706"/>
      <c r="I26" s="706"/>
      <c r="J26" s="706"/>
      <c r="K26" s="707"/>
      <c r="L26" s="707"/>
      <c r="M26" s="707"/>
      <c r="N26" s="216"/>
      <c r="O26" s="216"/>
      <c r="P26" s="216"/>
      <c r="Q26" s="216"/>
      <c r="R26" s="216"/>
    </row>
    <row r="27" spans="2:18" s="218" customFormat="1" ht="25.5" customHeight="1">
      <c r="B27" s="1041"/>
      <c r="C27" s="929" t="s">
        <v>252</v>
      </c>
      <c r="D27" s="930"/>
      <c r="E27" s="577" t="str">
        <f>IF('Język - Language'!$B$30="Polski","Flat Fee / dzień","Flat Fee / 1 day")</f>
        <v>Flat Fee / dzień</v>
      </c>
      <c r="F27" s="794">
        <v>140000</v>
      </c>
      <c r="G27" s="783">
        <f>_xlfn.CEILING.PRECISE(F27+(F27*0.2),5000)</f>
        <v>170000</v>
      </c>
      <c r="H27" s="708"/>
      <c r="I27" s="1044"/>
      <c r="J27" s="1044"/>
      <c r="K27" s="707"/>
      <c r="L27" s="707"/>
      <c r="M27" s="707"/>
      <c r="N27" s="216"/>
      <c r="O27" s="216"/>
      <c r="P27" s="216"/>
      <c r="Q27" s="216"/>
      <c r="R27" s="216"/>
    </row>
    <row r="28" spans="2:18" s="724" customFormat="1" ht="25.5" customHeight="1">
      <c r="B28" s="1041"/>
      <c r="C28" s="911" t="s">
        <v>298</v>
      </c>
      <c r="D28" s="913"/>
      <c r="E28" s="577" t="s">
        <v>226</v>
      </c>
      <c r="F28" s="760">
        <v>55000</v>
      </c>
      <c r="G28" s="732">
        <f>_xlfn.CEILING.PRECISE(F28+(F28*0.2),1000)</f>
        <v>66000</v>
      </c>
      <c r="H28" s="717"/>
      <c r="I28" s="717"/>
      <c r="J28" s="717"/>
      <c r="K28" s="707"/>
      <c r="L28" s="707"/>
      <c r="M28" s="707"/>
      <c r="N28" s="725"/>
      <c r="O28" s="725"/>
      <c r="P28" s="725"/>
      <c r="Q28" s="725"/>
      <c r="R28" s="725"/>
    </row>
    <row r="29" spans="2:18" s="218" customFormat="1" ht="25.5" customHeight="1">
      <c r="B29" s="1041"/>
      <c r="C29" s="914" t="s">
        <v>250</v>
      </c>
      <c r="D29" s="916"/>
      <c r="E29" s="576" t="s">
        <v>226</v>
      </c>
      <c r="F29" s="694">
        <v>105000</v>
      </c>
      <c r="G29" s="732">
        <f>_xlfn.CEILING.PRECISE(F29+(F29*0.2),5000)</f>
        <v>130000</v>
      </c>
      <c r="H29" s="708"/>
      <c r="I29" s="1044"/>
      <c r="J29" s="1044"/>
      <c r="K29" s="707"/>
      <c r="L29" s="707"/>
      <c r="M29" s="707"/>
      <c r="N29" s="216"/>
      <c r="O29" s="216"/>
      <c r="P29" s="216"/>
      <c r="Q29" s="216"/>
      <c r="R29" s="216"/>
    </row>
    <row r="30" spans="2:18" s="218" customFormat="1" ht="25.5" customHeight="1">
      <c r="B30" s="1041"/>
      <c r="C30" s="929"/>
      <c r="D30" s="930"/>
      <c r="E30" s="577" t="s">
        <v>227</v>
      </c>
      <c r="F30" s="694">
        <v>95000</v>
      </c>
      <c r="G30" s="732">
        <f>_xlfn.CEILING.PRECISE(F30+(F30*0.2),5000)</f>
        <v>115000</v>
      </c>
      <c r="H30" s="708"/>
      <c r="I30" s="1044"/>
      <c r="J30" s="1044"/>
      <c r="K30" s="707"/>
      <c r="L30" s="707"/>
      <c r="M30" s="707"/>
      <c r="N30" s="216"/>
      <c r="O30" s="216"/>
      <c r="P30" s="216"/>
      <c r="Q30" s="216"/>
      <c r="R30" s="216"/>
    </row>
    <row r="31" spans="2:18" s="218" customFormat="1" ht="25.5" customHeight="1">
      <c r="B31" s="1041"/>
      <c r="C31" s="920" t="s">
        <v>246</v>
      </c>
      <c r="D31" s="936"/>
      <c r="E31" s="688" t="s">
        <v>114</v>
      </c>
      <c r="F31" s="695">
        <v>175000</v>
      </c>
      <c r="G31" s="733">
        <f t="shared" ref="G31" si="0">_xlfn.CEILING.PRECISE(F31+(F31*0.2),1000)</f>
        <v>210000</v>
      </c>
      <c r="H31" s="708"/>
      <c r="I31" s="1044"/>
      <c r="J31" s="1044"/>
      <c r="K31" s="707"/>
      <c r="L31" s="707"/>
      <c r="M31" s="707"/>
      <c r="N31" s="216"/>
      <c r="O31" s="216"/>
      <c r="P31" s="216"/>
      <c r="Q31" s="216"/>
      <c r="R31" s="216"/>
    </row>
    <row r="32" spans="2:18" s="218" customFormat="1" ht="25.5" customHeight="1">
      <c r="B32" s="1042"/>
      <c r="C32" s="711"/>
      <c r="D32" s="710"/>
      <c r="E32" s="710"/>
      <c r="F32" s="691"/>
      <c r="G32" s="691"/>
      <c r="H32" s="706"/>
      <c r="I32" s="706"/>
      <c r="J32" s="706"/>
      <c r="K32" s="707"/>
      <c r="L32" s="707"/>
      <c r="M32" s="707"/>
      <c r="N32" s="216"/>
      <c r="O32" s="216"/>
      <c r="P32" s="216"/>
      <c r="Q32" s="216"/>
      <c r="R32" s="216"/>
    </row>
    <row r="33" spans="2:18" s="218" customFormat="1" ht="12.75" customHeight="1">
      <c r="B33" s="1042"/>
      <c r="C33" s="907" t="s">
        <v>285</v>
      </c>
      <c r="D33" s="907"/>
      <c r="E33" s="907" t="str">
        <f>IF('Język - Language'!$B$30="Polski","MODEL EMISJI","MODEL OF EMISSION")</f>
        <v>MODEL EMISJI</v>
      </c>
      <c r="F33" s="907" t="str">
        <f>IF('Język - Language'!$B$30="Polski","CENA RC","PRICE")</f>
        <v>CENA RC</v>
      </c>
      <c r="G33" s="908"/>
      <c r="H33" s="706"/>
      <c r="I33" s="706"/>
      <c r="J33" s="706"/>
      <c r="K33" s="707"/>
      <c r="L33" s="707"/>
      <c r="M33" s="707"/>
      <c r="N33" s="216"/>
      <c r="O33" s="216"/>
      <c r="P33" s="216"/>
      <c r="Q33" s="216"/>
      <c r="R33" s="216"/>
    </row>
    <row r="34" spans="2:18" s="218" customFormat="1" ht="12.75" customHeight="1">
      <c r="B34" s="1042"/>
      <c r="C34" s="977"/>
      <c r="D34" s="977"/>
      <c r="E34" s="977"/>
      <c r="F34" s="751" t="str">
        <f>IF('Język - Language'!$B$30="Polski","styczeń-wrzesień","Jan-Sep")</f>
        <v>styczeń-wrzesień</v>
      </c>
      <c r="G34" s="756" t="str">
        <f>IF('Język - Language'!$B$30="Polski","październik-grudzień","Oct-Dec")</f>
        <v>październik-grudzień</v>
      </c>
      <c r="H34" s="706"/>
      <c r="I34" s="706"/>
      <c r="J34" s="706"/>
      <c r="K34" s="707"/>
      <c r="L34" s="707"/>
      <c r="M34" s="707"/>
      <c r="N34" s="216"/>
      <c r="O34" s="216"/>
      <c r="P34" s="216"/>
      <c r="Q34" s="216"/>
      <c r="R34" s="216"/>
    </row>
    <row r="35" spans="2:18" s="218" customFormat="1" ht="25.5" customHeight="1">
      <c r="B35" s="1041"/>
      <c r="C35" s="929" t="s">
        <v>252</v>
      </c>
      <c r="D35" s="930"/>
      <c r="E35" s="577" t="str">
        <f>IF('Język - Language'!$B$30="Polski","Flat Fee / dzień","Flat Fee / 1 day")</f>
        <v>Flat Fee / dzień</v>
      </c>
      <c r="F35" s="760">
        <v>140000</v>
      </c>
      <c r="G35" s="797">
        <f t="shared" ref="G35:G38" si="1">_xlfn.CEILING.PRECISE(F35+(F35*0.2),5000)</f>
        <v>170000</v>
      </c>
      <c r="H35" s="708"/>
      <c r="I35" s="1044"/>
      <c r="J35" s="1044"/>
      <c r="K35" s="707"/>
      <c r="L35" s="707"/>
      <c r="M35" s="707"/>
      <c r="N35" s="216"/>
      <c r="O35" s="216"/>
      <c r="P35" s="216"/>
      <c r="Q35" s="216"/>
      <c r="R35" s="216"/>
    </row>
    <row r="36" spans="2:18" s="724" customFormat="1" ht="25.5" customHeight="1">
      <c r="B36" s="1041"/>
      <c r="C36" s="911" t="s">
        <v>246</v>
      </c>
      <c r="D36" s="913"/>
      <c r="E36" s="576" t="s">
        <v>114</v>
      </c>
      <c r="F36" s="694">
        <v>215000</v>
      </c>
      <c r="G36" s="149">
        <f t="shared" si="1"/>
        <v>260000</v>
      </c>
      <c r="H36" s="717"/>
      <c r="I36" s="717"/>
      <c r="J36" s="717"/>
      <c r="K36" s="707"/>
      <c r="L36" s="707"/>
      <c r="M36" s="707"/>
      <c r="N36" s="725"/>
      <c r="O36" s="725"/>
      <c r="P36" s="725"/>
      <c r="Q36" s="725"/>
      <c r="R36" s="725"/>
    </row>
    <row r="37" spans="2:18" s="218" customFormat="1" ht="25.5" customHeight="1">
      <c r="B37" s="1041"/>
      <c r="C37" s="914" t="s">
        <v>250</v>
      </c>
      <c r="D37" s="916"/>
      <c r="E37" s="577" t="s">
        <v>226</v>
      </c>
      <c r="F37" s="760">
        <v>140000</v>
      </c>
      <c r="G37" s="797">
        <f t="shared" si="1"/>
        <v>170000</v>
      </c>
      <c r="H37" s="708"/>
      <c r="I37" s="1044"/>
      <c r="J37" s="1044"/>
      <c r="K37" s="707"/>
      <c r="L37" s="707"/>
      <c r="M37" s="707"/>
      <c r="N37" s="216"/>
      <c r="O37" s="216"/>
      <c r="P37" s="216"/>
      <c r="Q37" s="216"/>
      <c r="R37" s="216"/>
    </row>
    <row r="38" spans="2:18" s="218" customFormat="1" ht="25.5" customHeight="1">
      <c r="B38" s="1041"/>
      <c r="C38" s="929"/>
      <c r="D38" s="930"/>
      <c r="E38" s="576" t="s">
        <v>227</v>
      </c>
      <c r="F38" s="694">
        <v>100000</v>
      </c>
      <c r="G38" s="149">
        <f t="shared" si="1"/>
        <v>120000</v>
      </c>
      <c r="H38" s="708"/>
      <c r="I38" s="1044"/>
      <c r="J38" s="1044"/>
      <c r="K38" s="707"/>
      <c r="L38" s="707"/>
      <c r="M38" s="707"/>
      <c r="N38" s="216"/>
      <c r="O38" s="216"/>
      <c r="P38" s="216"/>
      <c r="Q38" s="216"/>
      <c r="R38" s="216"/>
    </row>
    <row r="39" spans="2:18" s="218" customFormat="1" ht="25.5" customHeight="1">
      <c r="B39" s="1041"/>
      <c r="C39" s="1045" t="s">
        <v>298</v>
      </c>
      <c r="D39" s="1045"/>
      <c r="E39" s="486" t="s">
        <v>226</v>
      </c>
      <c r="F39" s="568">
        <v>60000</v>
      </c>
      <c r="G39" s="568">
        <f>_xlfn.CEILING.PRECISE(F39+(F39*0.2),5000)</f>
        <v>75000</v>
      </c>
      <c r="H39" s="708"/>
      <c r="I39" s="1044"/>
      <c r="J39" s="1044"/>
      <c r="K39" s="707"/>
      <c r="L39" s="707"/>
      <c r="M39" s="707"/>
      <c r="N39" s="216"/>
      <c r="O39" s="216"/>
      <c r="P39" s="216"/>
      <c r="Q39" s="216"/>
      <c r="R39" s="216"/>
    </row>
    <row r="40" spans="2:18" s="218" customFormat="1" ht="25.5" customHeight="1">
      <c r="B40" s="1042"/>
      <c r="C40" s="729"/>
      <c r="D40" s="729"/>
      <c r="E40" s="735"/>
      <c r="F40" s="691"/>
      <c r="G40" s="691"/>
      <c r="H40" s="706"/>
      <c r="I40" s="706"/>
      <c r="J40" s="706"/>
      <c r="K40" s="707"/>
      <c r="L40" s="707"/>
      <c r="M40" s="707"/>
      <c r="N40" s="216"/>
      <c r="O40" s="216"/>
      <c r="P40" s="216"/>
      <c r="Q40" s="216"/>
      <c r="R40" s="216"/>
    </row>
    <row r="41" spans="2:18" s="218" customFormat="1" ht="12.75" customHeight="1">
      <c r="B41" s="1042"/>
      <c r="C41" s="1068" t="s">
        <v>284</v>
      </c>
      <c r="D41" s="1035"/>
      <c r="E41" s="1035" t="str">
        <f>IF('Język - Language'!$B$30="Polski","MODEL EMISJI","MODEL OF EMISSION")</f>
        <v>MODEL EMISJI</v>
      </c>
      <c r="F41" s="1035" t="str">
        <f>IF('Język - Language'!$B$30="Polski","CENA RC","PRICE")</f>
        <v>CENA RC</v>
      </c>
      <c r="G41" s="1036"/>
      <c r="H41" s="706"/>
      <c r="I41" s="706"/>
      <c r="J41" s="706"/>
      <c r="K41" s="707"/>
      <c r="L41" s="707"/>
      <c r="M41" s="707"/>
      <c r="N41" s="216"/>
      <c r="O41" s="216"/>
      <c r="P41" s="216"/>
      <c r="Q41" s="216"/>
      <c r="R41" s="216"/>
    </row>
    <row r="42" spans="2:18" s="218" customFormat="1" ht="12.75" customHeight="1">
      <c r="B42" s="1042"/>
      <c r="C42" s="1069"/>
      <c r="D42" s="1067"/>
      <c r="E42" s="1067"/>
      <c r="F42" s="795" t="str">
        <f>IF('Język - Language'!$B$30="Polski","styczeń-wrzesień","Jan-Sep")</f>
        <v>styczeń-wrzesień</v>
      </c>
      <c r="G42" s="796" t="str">
        <f>IF('Język - Language'!$B$30="Polski","październik-grudzień","Oct-Dec")</f>
        <v>październik-grudzień</v>
      </c>
      <c r="H42" s="706"/>
      <c r="I42" s="706"/>
      <c r="J42" s="706"/>
      <c r="K42" s="707"/>
      <c r="L42" s="707"/>
      <c r="M42" s="707"/>
      <c r="N42" s="216"/>
      <c r="O42" s="216"/>
      <c r="P42" s="216"/>
      <c r="Q42" s="216"/>
      <c r="R42" s="216"/>
    </row>
    <row r="43" spans="2:18" s="218" customFormat="1" ht="25.5" customHeight="1">
      <c r="B43" s="1041"/>
      <c r="C43" s="929" t="s">
        <v>252</v>
      </c>
      <c r="D43" s="930"/>
      <c r="E43" s="577" t="str">
        <f>IF('Język - Language'!$B$30="Polski","Flat Fee / dzień","Flat Fee / 1 day")</f>
        <v>Flat Fee / dzień</v>
      </c>
      <c r="F43" s="760">
        <v>45000</v>
      </c>
      <c r="G43" s="728">
        <f>_xlfn.CEILING.PRECISE(F43+(F43*0.2),5000)</f>
        <v>55000</v>
      </c>
      <c r="H43" s="708"/>
      <c r="I43" s="1044"/>
      <c r="J43" s="1044"/>
      <c r="K43" s="707"/>
      <c r="L43" s="707"/>
      <c r="M43" s="707"/>
      <c r="N43" s="216"/>
      <c r="O43" s="216"/>
      <c r="P43" s="216"/>
      <c r="Q43" s="216"/>
      <c r="R43" s="216"/>
    </row>
    <row r="44" spans="2:18" s="724" customFormat="1" ht="25.5" customHeight="1">
      <c r="B44" s="1042"/>
      <c r="C44" s="911" t="s">
        <v>298</v>
      </c>
      <c r="D44" s="913"/>
      <c r="E44" s="576" t="str">
        <f>IF('Język - Language'!$B$30="Polski","Flat Fee / dzień","Flat Fee / 1 day")</f>
        <v>Flat Fee / dzień</v>
      </c>
      <c r="F44" s="694">
        <v>50000</v>
      </c>
      <c r="G44" s="732">
        <f t="shared" ref="G44" si="2">_xlfn.CEILING.PRECISE(F44+(F44*0.2),1000)</f>
        <v>60000</v>
      </c>
      <c r="H44" s="717"/>
      <c r="I44" s="717"/>
      <c r="J44" s="717"/>
      <c r="K44" s="707"/>
      <c r="L44" s="707"/>
      <c r="M44" s="707"/>
      <c r="N44" s="725"/>
      <c r="O44" s="725"/>
      <c r="P44" s="725"/>
      <c r="Q44" s="725"/>
      <c r="R44" s="725"/>
    </row>
    <row r="45" spans="2:18" s="724" customFormat="1" ht="25.5" customHeight="1">
      <c r="B45" s="1042"/>
      <c r="C45" s="1046" t="s">
        <v>299</v>
      </c>
      <c r="D45" s="1046"/>
      <c r="E45" s="696" t="str">
        <f>IF('Język - Language'!$B$30="Polski","Flat Fee / dzień","Flat Fee / 1 day")</f>
        <v>Flat Fee / dzień</v>
      </c>
      <c r="F45" s="763">
        <v>65000</v>
      </c>
      <c r="G45" s="586">
        <f>_xlfn.CEILING.PRECISE(F45+(F45*0.2),5000)</f>
        <v>80000</v>
      </c>
      <c r="H45" s="717"/>
      <c r="I45" s="717"/>
      <c r="J45" s="717"/>
      <c r="K45" s="707"/>
      <c r="L45" s="707"/>
      <c r="M45" s="707"/>
      <c r="N45" s="725"/>
      <c r="O45" s="725"/>
      <c r="P45" s="725"/>
      <c r="Q45" s="725"/>
      <c r="R45" s="725"/>
    </row>
    <row r="46" spans="2:18" s="218" customFormat="1" ht="25.5" customHeight="1">
      <c r="B46" s="1042"/>
      <c r="C46" s="714"/>
      <c r="D46" s="714"/>
      <c r="E46" s="710"/>
      <c r="F46" s="691"/>
      <c r="G46" s="691"/>
      <c r="H46" s="706"/>
      <c r="I46" s="706"/>
      <c r="J46" s="706"/>
      <c r="K46" s="707"/>
      <c r="L46" s="707"/>
      <c r="M46" s="707"/>
      <c r="N46" s="216"/>
      <c r="O46" s="216"/>
      <c r="P46" s="216"/>
      <c r="Q46" s="216"/>
      <c r="R46" s="216"/>
    </row>
    <row r="47" spans="2:18" s="218" customFormat="1" ht="12.75" customHeight="1">
      <c r="B47" s="1042"/>
      <c r="C47" s="1063" t="s">
        <v>296</v>
      </c>
      <c r="D47" s="998"/>
      <c r="E47" s="998" t="str">
        <f>IF('Język - Language'!$B$30="Polski","MODEL EMISJI / CZAS","TIME")</f>
        <v>MODEL EMISJI / CZAS</v>
      </c>
      <c r="F47" s="998" t="str">
        <f>IF('Język - Language'!$B$30="Polski","CENA RC","PRICE")</f>
        <v>CENA RC</v>
      </c>
      <c r="G47" s="1037"/>
      <c r="H47" s="706"/>
      <c r="I47" s="706"/>
      <c r="J47" s="706"/>
      <c r="K47" s="707"/>
      <c r="L47" s="707"/>
      <c r="M47" s="707"/>
      <c r="N47" s="216"/>
      <c r="O47" s="216"/>
      <c r="P47" s="216"/>
      <c r="Q47" s="216"/>
      <c r="R47" s="216"/>
    </row>
    <row r="48" spans="2:18" s="218" customFormat="1" ht="12.75" customHeight="1">
      <c r="B48" s="1042"/>
      <c r="C48" s="1064"/>
      <c r="D48" s="1062"/>
      <c r="E48" s="1062"/>
      <c r="F48" s="753" t="str">
        <f>IF('Język - Language'!$B$30="Polski","styczeń-wrzesień","Jan-Sep")</f>
        <v>styczeń-wrzesień</v>
      </c>
      <c r="G48" s="757" t="str">
        <f>IF('Język - Language'!$B$30="Polski","październik-grudzień","Oct-Dec")</f>
        <v>październik-grudzień</v>
      </c>
      <c r="H48" s="706"/>
      <c r="I48" s="706"/>
      <c r="J48" s="706"/>
      <c r="K48" s="707"/>
      <c r="L48" s="707"/>
      <c r="M48" s="707"/>
      <c r="N48" s="216"/>
      <c r="O48" s="216"/>
      <c r="P48" s="216"/>
      <c r="Q48" s="216"/>
      <c r="R48" s="216"/>
    </row>
    <row r="49" spans="2:18" s="218" customFormat="1" ht="25.5" customHeight="1">
      <c r="B49" s="1041"/>
      <c r="C49" s="1070" t="s">
        <v>252</v>
      </c>
      <c r="D49" s="1071"/>
      <c r="E49" s="715" t="str">
        <f>IF('Język - Language'!$B$30="Polski","Flat Fee / dzień","Flat Fee / 1 day")</f>
        <v>Flat Fee / dzień</v>
      </c>
      <c r="F49" s="798">
        <v>135000</v>
      </c>
      <c r="G49" s="799">
        <f>_xlfn.CEILING.PRECISE(F49+(F49*0.2),5000)</f>
        <v>165000</v>
      </c>
      <c r="H49" s="706"/>
      <c r="I49" s="706"/>
      <c r="J49" s="706"/>
      <c r="K49" s="707"/>
      <c r="L49" s="707"/>
      <c r="M49" s="707"/>
      <c r="N49" s="216"/>
      <c r="O49" s="216"/>
      <c r="P49" s="216"/>
      <c r="Q49" s="216"/>
      <c r="R49" s="216"/>
    </row>
    <row r="50" spans="2:18" s="218" customFormat="1" ht="25.5" customHeight="1">
      <c r="B50" s="1041"/>
      <c r="C50" s="911" t="s">
        <v>298</v>
      </c>
      <c r="D50" s="913"/>
      <c r="E50" s="576" t="s">
        <v>226</v>
      </c>
      <c r="F50" s="694">
        <v>70000</v>
      </c>
      <c r="G50" s="732">
        <f>_xlfn.CEILING.PRECISE(F50+(F50*0.2),5000)</f>
        <v>85000</v>
      </c>
      <c r="H50" s="706"/>
      <c r="I50" s="706"/>
      <c r="J50" s="706"/>
      <c r="K50" s="707"/>
      <c r="L50" s="707"/>
      <c r="M50" s="707"/>
      <c r="N50" s="216"/>
      <c r="O50" s="216"/>
      <c r="P50" s="216"/>
      <c r="Q50" s="216"/>
      <c r="R50" s="216"/>
    </row>
    <row r="51" spans="2:18" s="218" customFormat="1" ht="25.5" customHeight="1">
      <c r="B51" s="1041"/>
      <c r="C51" s="1008" t="s">
        <v>299</v>
      </c>
      <c r="D51" s="1010"/>
      <c r="E51" s="696" t="s">
        <v>226</v>
      </c>
      <c r="F51" s="763">
        <v>90000</v>
      </c>
      <c r="G51" s="733">
        <v>110000</v>
      </c>
      <c r="H51" s="706"/>
      <c r="I51" s="706"/>
      <c r="J51" s="706"/>
      <c r="K51" s="707"/>
      <c r="L51" s="707"/>
      <c r="M51" s="707"/>
      <c r="N51" s="216"/>
      <c r="O51" s="216"/>
      <c r="P51" s="216"/>
      <c r="Q51" s="216"/>
      <c r="R51" s="216"/>
    </row>
    <row r="52" spans="2:18" s="218" customFormat="1" ht="25.5" customHeight="1">
      <c r="B52" s="1042"/>
      <c r="C52" s="277"/>
      <c r="D52" s="277"/>
      <c r="E52" s="710"/>
      <c r="F52" s="691"/>
      <c r="G52" s="691"/>
      <c r="H52" s="706"/>
      <c r="I52" s="706"/>
      <c r="J52" s="706"/>
      <c r="K52" s="707"/>
      <c r="L52" s="707"/>
      <c r="M52" s="707"/>
      <c r="N52" s="216"/>
      <c r="O52" s="216"/>
      <c r="P52" s="216"/>
      <c r="Q52" s="216"/>
      <c r="R52" s="216"/>
    </row>
    <row r="53" spans="2:18" s="218" customFormat="1" ht="12.75" customHeight="1">
      <c r="B53" s="1042"/>
      <c r="C53" s="1048" t="s">
        <v>287</v>
      </c>
      <c r="D53" s="1038"/>
      <c r="E53" s="1038" t="str">
        <f>IF('Język - Language'!$B$30="Polski","MODEL EMISJI","MODEL OF EMISSION")</f>
        <v>MODEL EMISJI</v>
      </c>
      <c r="F53" s="1038" t="str">
        <f>IF('Język - Language'!$B$30="Polski","CENA RC","PRICE")</f>
        <v>CENA RC</v>
      </c>
      <c r="G53" s="1039"/>
      <c r="H53" s="706"/>
      <c r="I53" s="706"/>
      <c r="J53" s="706"/>
      <c r="K53" s="707"/>
      <c r="L53" s="707"/>
      <c r="M53" s="707"/>
      <c r="N53" s="216"/>
      <c r="O53" s="216"/>
      <c r="P53" s="216"/>
      <c r="Q53" s="216"/>
      <c r="R53" s="216"/>
    </row>
    <row r="54" spans="2:18" s="218" customFormat="1" ht="12.75" customHeight="1">
      <c r="B54" s="1042"/>
      <c r="C54" s="1049"/>
      <c r="D54" s="1050"/>
      <c r="E54" s="1050"/>
      <c r="F54" s="754" t="str">
        <f>IF('Język - Language'!$B$30="Polski","styczeń-wrzesień","Jan-Sep")</f>
        <v>styczeń-wrzesień</v>
      </c>
      <c r="G54" s="759" t="str">
        <f>IF('Język - Language'!$B$30="Polski","październik-grudzień","Oct-Dec")</f>
        <v>październik-grudzień</v>
      </c>
      <c r="H54" s="706"/>
      <c r="I54" s="706"/>
      <c r="J54" s="706"/>
      <c r="K54" s="707"/>
      <c r="L54" s="707"/>
      <c r="M54" s="707"/>
      <c r="N54" s="216"/>
      <c r="O54" s="216"/>
      <c r="P54" s="216"/>
      <c r="Q54" s="216"/>
      <c r="R54" s="216"/>
    </row>
    <row r="55" spans="2:18" s="218" customFormat="1" ht="25.5" customHeight="1">
      <c r="B55" s="1041"/>
      <c r="C55" s="1065" t="s">
        <v>243</v>
      </c>
      <c r="D55" s="1066"/>
      <c r="E55" s="802" t="str">
        <f>IF('Język - Language'!$B$30="Polski","Flat Fee / dzień","Flat Fee / 1 day")</f>
        <v>Flat Fee / dzień</v>
      </c>
      <c r="F55" s="801">
        <v>25000</v>
      </c>
      <c r="G55" s="803">
        <f t="shared" ref="G55" si="3">_xlfn.CEILING.PRECISE(F55+(F55*0.2),1000)</f>
        <v>30000</v>
      </c>
      <c r="H55" s="706"/>
      <c r="I55" s="706"/>
      <c r="J55" s="706"/>
      <c r="K55" s="707"/>
      <c r="L55" s="707"/>
      <c r="M55" s="707"/>
      <c r="N55" s="216"/>
      <c r="O55" s="216"/>
      <c r="P55" s="216"/>
      <c r="Q55" s="216"/>
      <c r="R55" s="216"/>
    </row>
    <row r="56" spans="2:18" s="724" customFormat="1" ht="25.5" customHeight="1">
      <c r="B56" s="1041"/>
      <c r="C56" s="911" t="s">
        <v>298</v>
      </c>
      <c r="D56" s="913"/>
      <c r="E56" s="576" t="s">
        <v>226</v>
      </c>
      <c r="F56" s="694">
        <v>165000</v>
      </c>
      <c r="G56" s="732">
        <f>_xlfn.CEILING.PRECISE(F56+(F56*0.2),5000)</f>
        <v>200000</v>
      </c>
      <c r="H56" s="717"/>
      <c r="I56" s="717"/>
      <c r="J56" s="717"/>
      <c r="K56" s="707"/>
      <c r="L56" s="707"/>
      <c r="M56" s="707"/>
      <c r="N56" s="725"/>
      <c r="O56" s="725"/>
      <c r="P56" s="725"/>
      <c r="Q56" s="725"/>
      <c r="R56" s="725"/>
    </row>
    <row r="57" spans="2:18" s="218" customFormat="1" ht="25.5" customHeight="1">
      <c r="B57" s="1041"/>
      <c r="C57" s="1046" t="s">
        <v>251</v>
      </c>
      <c r="D57" s="1046"/>
      <c r="E57" s="696" t="str">
        <f>IF('Język - Language'!$B$30="Polski","I dniówka, cap 3/uu / dzień","cap 3/uu / 1 day")</f>
        <v>I dniówka, cap 3/uu / dzień</v>
      </c>
      <c r="F57" s="763">
        <v>185000</v>
      </c>
      <c r="G57" s="586">
        <f>_xlfn.CEILING.PRECISE(F57+(F57*0.2),5000)</f>
        <v>225000</v>
      </c>
      <c r="H57" s="708"/>
      <c r="I57" s="1044"/>
      <c r="J57" s="1044"/>
      <c r="K57" s="707"/>
      <c r="L57" s="707"/>
      <c r="M57" s="707"/>
      <c r="N57" s="216"/>
      <c r="O57" s="216"/>
      <c r="P57" s="216"/>
      <c r="Q57" s="216"/>
      <c r="R57" s="216"/>
    </row>
    <row r="58" spans="2:18" s="218" customFormat="1" ht="25.5" customHeight="1">
      <c r="B58" s="1042"/>
      <c r="C58" s="712"/>
      <c r="D58" s="729"/>
      <c r="E58" s="710"/>
      <c r="F58" s="691"/>
      <c r="G58" s="691"/>
      <c r="H58" s="706"/>
      <c r="I58" s="706"/>
      <c r="J58" s="706"/>
      <c r="K58" s="707"/>
      <c r="L58" s="707"/>
      <c r="M58" s="707"/>
      <c r="N58" s="216"/>
      <c r="O58" s="216"/>
      <c r="P58" s="216"/>
      <c r="Q58" s="216"/>
      <c r="R58" s="216"/>
    </row>
    <row r="59" spans="2:18" s="218" customFormat="1" ht="12.75" customHeight="1">
      <c r="B59" s="1042"/>
      <c r="C59" s="1051" t="s">
        <v>288</v>
      </c>
      <c r="D59" s="1052"/>
      <c r="E59" s="1000" t="str">
        <f>IF('Język - Language'!$B$30="Polski","MODEL EMISJI / CZAS","MODEL OF EMISSION")</f>
        <v>MODEL EMISJI / CZAS</v>
      </c>
      <c r="F59" s="1031" t="s">
        <v>120</v>
      </c>
      <c r="G59" s="1032"/>
      <c r="H59" s="706"/>
      <c r="I59" s="706"/>
      <c r="J59" s="706"/>
      <c r="K59" s="707"/>
      <c r="L59" s="707"/>
      <c r="M59" s="707"/>
      <c r="N59" s="216"/>
      <c r="O59" s="216"/>
      <c r="P59" s="216"/>
      <c r="Q59" s="216"/>
      <c r="R59" s="216"/>
    </row>
    <row r="60" spans="2:18" s="218" customFormat="1" ht="12.75" customHeight="1">
      <c r="B60" s="1042"/>
      <c r="C60" s="1053"/>
      <c r="D60" s="1054"/>
      <c r="E60" s="1001"/>
      <c r="F60" s="805" t="str">
        <f>IF('Język - Language'!$B$30="Polski","styczeń-wrzesień","Jan-Sep")</f>
        <v>styczeń-wrzesień</v>
      </c>
      <c r="G60" s="806" t="str">
        <f>IF('Język - Language'!$B$30="Polski","październik-grudzień","Oct-Dec")</f>
        <v>październik-grudzień</v>
      </c>
      <c r="H60" s="706"/>
      <c r="I60" s="706"/>
      <c r="J60" s="706"/>
      <c r="K60" s="707"/>
      <c r="L60" s="707"/>
      <c r="M60" s="707"/>
      <c r="N60" s="216"/>
      <c r="O60" s="216"/>
      <c r="P60" s="216"/>
      <c r="Q60" s="216"/>
      <c r="R60" s="216"/>
    </row>
    <row r="61" spans="2:18" s="218" customFormat="1" ht="25.5" customHeight="1">
      <c r="B61" s="1041"/>
      <c r="C61" s="953" t="s">
        <v>252</v>
      </c>
      <c r="D61" s="955"/>
      <c r="E61" s="716" t="str">
        <f>IF('Język - Language'!$B$30="Polski","Flat Fee / dzień","Flat Fee / 1 day")</f>
        <v>Flat Fee / dzień</v>
      </c>
      <c r="F61" s="760">
        <v>50000</v>
      </c>
      <c r="G61" s="682">
        <f t="shared" ref="G61" si="4">_xlfn.CEILING.PRECISE(F61+(F61*0.2),1000)</f>
        <v>60000</v>
      </c>
      <c r="H61" s="708"/>
      <c r="I61" s="1044"/>
      <c r="J61" s="1044"/>
      <c r="K61" s="707"/>
      <c r="L61" s="707"/>
      <c r="M61" s="707"/>
      <c r="N61" s="216"/>
      <c r="O61" s="216"/>
      <c r="P61" s="216"/>
      <c r="Q61" s="216"/>
      <c r="R61" s="216"/>
    </row>
    <row r="62" spans="2:18" s="724" customFormat="1" ht="25.5" customHeight="1">
      <c r="B62" s="1041"/>
      <c r="C62" s="929"/>
      <c r="D62" s="930"/>
      <c r="E62" s="716" t="str">
        <f>IF('Język - Language'!$B$30="Polski","Flat Fee / tydzień","Flat Fee / 1 week")</f>
        <v>Flat Fee / tydzień</v>
      </c>
      <c r="F62" s="760">
        <v>290000</v>
      </c>
      <c r="G62" s="728">
        <f>_xlfn.CEILING.PRECISE(F62+(F62*0.2),5000)</f>
        <v>350000</v>
      </c>
      <c r="H62" s="717"/>
      <c r="I62" s="717"/>
      <c r="J62" s="717"/>
      <c r="K62" s="707"/>
      <c r="L62" s="707"/>
      <c r="M62" s="707"/>
      <c r="N62" s="725"/>
      <c r="O62" s="725"/>
      <c r="P62" s="725"/>
      <c r="Q62" s="725"/>
      <c r="R62" s="725"/>
    </row>
    <row r="63" spans="2:18" s="218" customFormat="1" ht="25.5" customHeight="1">
      <c r="B63" s="1041"/>
      <c r="C63" s="978" t="s">
        <v>246</v>
      </c>
      <c r="D63" s="978"/>
      <c r="E63" s="800" t="s">
        <v>114</v>
      </c>
      <c r="F63" s="694">
        <v>140000</v>
      </c>
      <c r="G63" s="732">
        <f>_xlfn.CEILING.PRECISE(F63+(F63*0.2),5000)</f>
        <v>170000</v>
      </c>
      <c r="H63" s="708"/>
      <c r="I63" s="1044"/>
      <c r="J63" s="1044"/>
      <c r="K63" s="707"/>
      <c r="L63" s="707"/>
      <c r="M63" s="707"/>
      <c r="N63" s="216"/>
      <c r="O63" s="216"/>
      <c r="P63" s="216"/>
      <c r="Q63" s="216"/>
      <c r="R63" s="216"/>
    </row>
    <row r="64" spans="2:18" s="724" customFormat="1" ht="25.5" customHeight="1">
      <c r="B64" s="1042"/>
      <c r="C64" s="978" t="s">
        <v>298</v>
      </c>
      <c r="D64" s="978"/>
      <c r="E64" s="576" t="s">
        <v>226</v>
      </c>
      <c r="F64" s="694">
        <v>45000</v>
      </c>
      <c r="G64" s="732">
        <f>_xlfn.CEILING.PRECISE(F64+(F64*0.2),5000)</f>
        <v>55000</v>
      </c>
      <c r="H64" s="717"/>
      <c r="I64" s="717"/>
      <c r="J64" s="717"/>
      <c r="K64" s="707"/>
      <c r="L64" s="707"/>
      <c r="M64" s="707"/>
      <c r="N64" s="725"/>
      <c r="O64" s="725"/>
      <c r="P64" s="725"/>
      <c r="Q64" s="725"/>
      <c r="R64" s="725"/>
    </row>
    <row r="65" spans="2:18" s="724" customFormat="1" ht="25.5" customHeight="1">
      <c r="B65" s="1042"/>
      <c r="C65" s="1046" t="s">
        <v>301</v>
      </c>
      <c r="D65" s="1046"/>
      <c r="E65" s="696" t="str">
        <f>IF('Język - Language'!$B$30="Polski","I dniówka, cap 3/uu / dzień","cap 3/uu / 1 day")</f>
        <v>I dniówka, cap 3/uu / dzień</v>
      </c>
      <c r="F65" s="763">
        <v>60000</v>
      </c>
      <c r="G65" s="586">
        <f>_xlfn.CEILING.PRECISE(F65+(F65*0.2),5000)</f>
        <v>75000</v>
      </c>
      <c r="H65" s="717"/>
      <c r="I65" s="717"/>
      <c r="J65" s="717"/>
      <c r="K65" s="707"/>
      <c r="L65" s="707"/>
      <c r="M65" s="707"/>
      <c r="N65" s="725"/>
      <c r="O65" s="725"/>
      <c r="P65" s="725"/>
      <c r="Q65" s="725"/>
      <c r="R65" s="725"/>
    </row>
    <row r="66" spans="2:18" s="724" customFormat="1" ht="25.5" customHeight="1">
      <c r="B66" s="1042"/>
      <c r="H66" s="717"/>
      <c r="I66" s="717"/>
      <c r="J66" s="717"/>
      <c r="K66" s="707"/>
      <c r="L66" s="707"/>
      <c r="M66" s="707"/>
      <c r="N66" s="725"/>
      <c r="O66" s="725"/>
      <c r="P66" s="725"/>
      <c r="Q66" s="725"/>
      <c r="R66" s="725"/>
    </row>
    <row r="67" spans="2:18" s="218" customFormat="1" ht="12.75" customHeight="1">
      <c r="B67" s="1042"/>
      <c r="C67" s="1055" t="s">
        <v>289</v>
      </c>
      <c r="D67" s="907"/>
      <c r="E67" s="907" t="str">
        <f>IF('Język - Language'!$B$30="Polski","MODEL EMISJI","MODEL OF EMISSION")</f>
        <v>MODEL EMISJI</v>
      </c>
      <c r="F67" s="907" t="str">
        <f>IF('Język - Language'!$B$30="Polski","CENA RC","PRICE")</f>
        <v>CENA RC</v>
      </c>
      <c r="G67" s="908"/>
      <c r="H67" s="706"/>
      <c r="I67" s="706"/>
      <c r="J67" s="706"/>
      <c r="K67" s="707"/>
      <c r="L67" s="707"/>
      <c r="M67" s="707"/>
      <c r="N67" s="216"/>
      <c r="O67" s="216"/>
      <c r="P67" s="216"/>
      <c r="Q67" s="216"/>
      <c r="R67" s="216"/>
    </row>
    <row r="68" spans="2:18" s="218" customFormat="1" ht="12.75" customHeight="1">
      <c r="B68" s="1042"/>
      <c r="C68" s="1056"/>
      <c r="D68" s="977"/>
      <c r="E68" s="977"/>
      <c r="F68" s="751" t="str">
        <f>IF('Język - Language'!$B$30="Polski","styczeń-wrzesień","Jan-Sep")</f>
        <v>styczeń-wrzesień</v>
      </c>
      <c r="G68" s="807" t="str">
        <f>IF('Język - Language'!$B$30="Polski","październik-grudzień","Oct-Dec")</f>
        <v>październik-grudzień</v>
      </c>
      <c r="H68" s="706"/>
      <c r="I68" s="706"/>
      <c r="J68" s="706"/>
      <c r="K68" s="707"/>
      <c r="L68" s="707"/>
      <c r="M68" s="707"/>
      <c r="N68" s="216"/>
      <c r="O68" s="216"/>
      <c r="P68" s="216"/>
      <c r="Q68" s="216"/>
      <c r="R68" s="216"/>
    </row>
    <row r="69" spans="2:18" s="218" customFormat="1" ht="25.5" customHeight="1">
      <c r="B69" s="1041"/>
      <c r="C69" s="1060" t="s">
        <v>252</v>
      </c>
      <c r="D69" s="1061"/>
      <c r="E69" s="716" t="str">
        <f>IF('Język - Language'!$B$30="Polski","Flat Fee / dzień","Flat Fee / 1 day")</f>
        <v>Flat Fee / dzień</v>
      </c>
      <c r="F69" s="804">
        <v>190000</v>
      </c>
      <c r="G69" s="742">
        <f>_xlfn.CEILING.PRECISE(F69+(F69*0.2),5000)</f>
        <v>230000</v>
      </c>
      <c r="H69" s="708"/>
      <c r="I69" s="1044"/>
      <c r="J69" s="1044"/>
      <c r="K69" s="707"/>
      <c r="L69" s="707"/>
      <c r="M69" s="707"/>
      <c r="N69" s="216"/>
      <c r="O69" s="216"/>
      <c r="P69" s="216"/>
      <c r="Q69" s="216"/>
      <c r="R69" s="216"/>
    </row>
    <row r="70" spans="2:18" s="218" customFormat="1" ht="25.5" customHeight="1">
      <c r="B70" s="1043"/>
      <c r="C70" s="920" t="s">
        <v>246</v>
      </c>
      <c r="D70" s="936"/>
      <c r="E70" s="687" t="s">
        <v>114</v>
      </c>
      <c r="F70" s="695">
        <v>365000</v>
      </c>
      <c r="G70" s="728">
        <f>_xlfn.CEILING.PRECISE(F70+(F70*0.2),5000)</f>
        <v>440000</v>
      </c>
      <c r="H70" s="708"/>
      <c r="I70" s="1044"/>
      <c r="J70" s="1044"/>
      <c r="K70" s="707"/>
      <c r="L70" s="707"/>
      <c r="M70" s="707"/>
      <c r="N70" s="216"/>
      <c r="O70" s="216"/>
      <c r="P70" s="216"/>
      <c r="Q70" s="216"/>
      <c r="R70" s="216"/>
    </row>
    <row r="71" spans="2:18" ht="12.75" customHeight="1">
      <c r="B71" s="357"/>
      <c r="C71" s="223" t="s">
        <v>247</v>
      </c>
      <c r="D71" s="358"/>
      <c r="E71" s="287"/>
      <c r="F71" s="287"/>
      <c r="G71" s="287"/>
      <c r="H71" s="346"/>
      <c r="I71" s="346"/>
      <c r="J71" s="285"/>
      <c r="K71" s="285"/>
      <c r="L71" s="285"/>
      <c r="M71" s="285"/>
      <c r="N71" s="285"/>
    </row>
    <row r="72" spans="2:18" ht="12.75" customHeight="1">
      <c r="B72" s="357"/>
      <c r="C72" s="223" t="s">
        <v>248</v>
      </c>
      <c r="D72" s="358"/>
      <c r="E72" s="346"/>
      <c r="F72" s="346"/>
      <c r="G72" s="346"/>
      <c r="H72" s="346"/>
      <c r="I72" s="346"/>
      <c r="J72" s="285"/>
      <c r="K72" s="285"/>
      <c r="L72" s="285"/>
      <c r="M72" s="285"/>
      <c r="N72" s="285"/>
    </row>
    <row r="73" spans="2:18" ht="12.75" customHeight="1">
      <c r="B73" s="357"/>
      <c r="C73" s="223" t="s">
        <v>249</v>
      </c>
      <c r="D73" s="358"/>
      <c r="E73" s="346"/>
      <c r="F73" s="346"/>
      <c r="G73" s="346"/>
      <c r="H73" s="346"/>
      <c r="I73" s="346"/>
      <c r="J73" s="285"/>
      <c r="K73" s="285"/>
      <c r="L73" s="285"/>
      <c r="M73" s="285"/>
      <c r="N73" s="285"/>
    </row>
    <row r="74" spans="2:18" ht="12.75" customHeight="1">
      <c r="B74" s="357"/>
      <c r="C74" s="223" t="s">
        <v>396</v>
      </c>
      <c r="D74" s="358"/>
      <c r="E74" s="346"/>
      <c r="F74" s="346"/>
      <c r="G74" s="346"/>
      <c r="H74" s="346"/>
      <c r="I74" s="346"/>
      <c r="J74" s="285"/>
      <c r="K74" s="285"/>
      <c r="L74" s="285"/>
      <c r="M74" s="285"/>
      <c r="N74" s="285"/>
    </row>
    <row r="75" spans="2:18" ht="12.75" customHeight="1">
      <c r="B75" s="357"/>
      <c r="C75" s="223" t="str">
        <f>IF('Język - Language'!$B$30="Polski","⁵ dopłata do opcji Full Page wynosi 25%","⁵ surcharge for the Full Page option is 25%")</f>
        <v>⁵ dopłata do opcji Full Page wynosi 25%</v>
      </c>
      <c r="D75" s="358"/>
      <c r="E75" s="346"/>
      <c r="F75" s="346"/>
      <c r="G75" s="346"/>
      <c r="H75" s="346"/>
      <c r="I75" s="346"/>
      <c r="J75" s="285"/>
      <c r="K75" s="285"/>
      <c r="L75" s="285"/>
      <c r="M75" s="285"/>
      <c r="N75" s="285"/>
    </row>
    <row r="76" spans="2:18" ht="12.75" customHeight="1">
      <c r="B76" s="357"/>
      <c r="C76" s="223"/>
      <c r="D76" s="358"/>
      <c r="E76" s="346"/>
      <c r="F76" s="346"/>
      <c r="G76" s="346"/>
      <c r="H76" s="346"/>
      <c r="I76" s="346"/>
      <c r="J76" s="285"/>
      <c r="K76" s="285"/>
      <c r="L76" s="285"/>
      <c r="M76" s="285"/>
      <c r="N76" s="285"/>
    </row>
    <row r="77" spans="2:18" ht="12.75" customHeight="1">
      <c r="B77" s="357"/>
      <c r="C77" s="232" t="s">
        <v>85</v>
      </c>
      <c r="D77" s="359"/>
      <c r="E77" s="286"/>
      <c r="F77" s="346"/>
      <c r="G77" s="346"/>
      <c r="H77" s="286"/>
      <c r="I77" s="286"/>
      <c r="J77" s="346"/>
      <c r="K77" s="346"/>
      <c r="L77" s="346"/>
    </row>
    <row r="78" spans="2:18" ht="25.5" customHeight="1">
      <c r="B78" s="357"/>
      <c r="C78" s="1059" t="s">
        <v>83</v>
      </c>
      <c r="D78" s="1059"/>
      <c r="E78" s="690" t="s">
        <v>88</v>
      </c>
      <c r="F78" s="699" t="s">
        <v>282</v>
      </c>
      <c r="G78" s="699" t="s">
        <v>281</v>
      </c>
      <c r="H78" s="564" t="s">
        <v>84</v>
      </c>
      <c r="I78" s="286"/>
      <c r="J78" s="286"/>
      <c r="K78" s="346"/>
      <c r="L78" s="346"/>
      <c r="M78" s="346"/>
    </row>
    <row r="79" spans="2:18" ht="12.75" customHeight="1">
      <c r="B79" s="357"/>
      <c r="C79" s="1059"/>
      <c r="D79" s="1059"/>
      <c r="E79" s="824" t="s">
        <v>204</v>
      </c>
      <c r="F79" s="824" t="s">
        <v>204</v>
      </c>
      <c r="G79" s="824" t="s">
        <v>204</v>
      </c>
      <c r="H79" s="564" t="s">
        <v>205</v>
      </c>
      <c r="I79" s="286"/>
      <c r="J79" s="286"/>
      <c r="K79" s="346"/>
      <c r="L79" s="346"/>
      <c r="M79" s="346"/>
    </row>
    <row r="80" spans="2:18" ht="26.25" customHeight="1">
      <c r="B80" s="229"/>
      <c r="C80" s="540" t="s">
        <v>86</v>
      </c>
      <c r="D80" s="246"/>
      <c r="E80" s="539">
        <v>360000</v>
      </c>
      <c r="F80" s="700">
        <v>500000</v>
      </c>
      <c r="G80" s="700">
        <v>260000</v>
      </c>
      <c r="H80" s="539">
        <v>120000</v>
      </c>
      <c r="I80" s="286"/>
      <c r="J80" s="286"/>
      <c r="K80" s="346"/>
      <c r="L80" s="346"/>
      <c r="M80" s="346"/>
    </row>
    <row r="81" spans="2:13" ht="25.5" customHeight="1">
      <c r="B81" s="229"/>
      <c r="C81" s="689" t="s">
        <v>87</v>
      </c>
      <c r="D81" s="284"/>
      <c r="E81" s="345">
        <v>85000</v>
      </c>
      <c r="F81" s="698">
        <v>240000</v>
      </c>
      <c r="G81" s="698">
        <v>120000</v>
      </c>
      <c r="H81" s="345">
        <v>55000</v>
      </c>
      <c r="I81" s="286"/>
      <c r="J81" s="286"/>
      <c r="K81" s="346"/>
      <c r="L81" s="346"/>
      <c r="M81" s="346"/>
    </row>
    <row r="82" spans="2:13" ht="15" customHeight="1">
      <c r="B82" s="357"/>
      <c r="C82" s="359"/>
      <c r="D82" s="359"/>
      <c r="E82" s="286"/>
      <c r="F82" s="346"/>
      <c r="G82" s="346"/>
      <c r="H82" s="286"/>
      <c r="I82" s="286"/>
      <c r="J82" s="346"/>
      <c r="K82" s="346"/>
      <c r="L82" s="346"/>
    </row>
    <row r="83" spans="2:13" ht="15" customHeight="1">
      <c r="B83" s="357"/>
      <c r="C83" s="359"/>
      <c r="D83" s="359"/>
      <c r="E83" s="286"/>
      <c r="F83" s="346"/>
      <c r="G83" s="346"/>
      <c r="H83" s="286"/>
      <c r="I83" s="286"/>
      <c r="J83" s="346"/>
      <c r="K83" s="346"/>
      <c r="L83" s="346"/>
    </row>
    <row r="84" spans="2:13" ht="15" customHeight="1">
      <c r="B84" s="357"/>
      <c r="C84" s="359"/>
      <c r="D84" s="359"/>
      <c r="E84" s="286"/>
      <c r="F84" s="346"/>
      <c r="G84" s="346"/>
      <c r="H84" s="286"/>
      <c r="I84" s="286"/>
      <c r="J84" s="346"/>
      <c r="K84" s="346"/>
      <c r="L84" s="346"/>
    </row>
    <row r="85" spans="2:13" ht="7.5" customHeight="1">
      <c r="B85" s="1057" t="str">
        <f>IF('Język - Language'!$B$30="Polski","REKLAMA ODSŁONOWA (vCPM) NA SERWISACH &gt;&gt;&gt;","vCPM ADVERTISING ON SITES &gt;&gt;&gt;")</f>
        <v>REKLAMA ODSŁONOWA (vCPM) NA SERWISACH &gt;&gt;&gt;</v>
      </c>
      <c r="C85" s="1057"/>
      <c r="D85" s="1057"/>
      <c r="E85" s="1057"/>
      <c r="F85" s="358"/>
      <c r="G85" s="358"/>
      <c r="H85" s="358"/>
      <c r="I85" s="358"/>
      <c r="J85" s="358"/>
      <c r="K85" s="358"/>
      <c r="L85" s="358"/>
    </row>
    <row r="86" spans="2:13">
      <c r="B86" s="1057"/>
      <c r="C86" s="1057"/>
      <c r="D86" s="1057"/>
      <c r="E86" s="1057"/>
      <c r="F86" s="358"/>
      <c r="G86" s="358"/>
      <c r="H86" s="358"/>
      <c r="I86" s="358"/>
      <c r="J86" s="358"/>
      <c r="K86" s="358"/>
      <c r="L86" s="358"/>
    </row>
    <row r="87" spans="2:13" ht="7.5" customHeight="1">
      <c r="B87" s="1057"/>
      <c r="C87" s="1057"/>
      <c r="D87" s="1057"/>
      <c r="E87" s="1057"/>
      <c r="F87" s="358"/>
      <c r="G87" s="358"/>
      <c r="H87" s="358"/>
      <c r="I87" s="358"/>
      <c r="J87" s="358"/>
      <c r="K87" s="358"/>
      <c r="L87" s="358"/>
    </row>
    <row r="88" spans="2:13">
      <c r="B88" s="357"/>
      <c r="C88" s="348"/>
      <c r="D88" s="359"/>
      <c r="E88" s="360"/>
      <c r="F88" s="358"/>
      <c r="G88" s="358"/>
      <c r="H88" s="358"/>
      <c r="I88" s="358"/>
      <c r="J88" s="358"/>
      <c r="K88" s="358"/>
      <c r="L88" s="358"/>
    </row>
    <row r="89" spans="2:13" ht="7.5" customHeight="1">
      <c r="B89" s="1058" t="str">
        <f>IF('Język - Language'!$B$30="Polski","REKLAMA DATA POWER &gt;&gt;&gt;","DATA POWER ADVERTISING &gt;&gt;&gt;")</f>
        <v>REKLAMA DATA POWER &gt;&gt;&gt;</v>
      </c>
      <c r="C89" s="1058"/>
      <c r="D89" s="1058"/>
      <c r="E89" s="1058"/>
      <c r="F89" s="358"/>
      <c r="G89" s="358"/>
      <c r="H89" s="346"/>
      <c r="I89" s="346"/>
      <c r="J89" s="346"/>
      <c r="K89" s="346"/>
      <c r="L89" s="346"/>
    </row>
    <row r="90" spans="2:13" ht="12.75" customHeight="1">
      <c r="B90" s="1058"/>
      <c r="C90" s="1058"/>
      <c r="D90" s="1058"/>
      <c r="E90" s="1058"/>
    </row>
    <row r="91" spans="2:13" ht="7.5" customHeight="1">
      <c r="B91" s="1058"/>
      <c r="C91" s="1058"/>
      <c r="D91" s="1058"/>
      <c r="E91" s="1058"/>
    </row>
  </sheetData>
  <mergeCells count="79">
    <mergeCell ref="C31:D31"/>
    <mergeCell ref="C35:D35"/>
    <mergeCell ref="C29:D30"/>
    <mergeCell ref="C37:D38"/>
    <mergeCell ref="C25:D26"/>
    <mergeCell ref="C36:D36"/>
    <mergeCell ref="C43:D43"/>
    <mergeCell ref="C57:D57"/>
    <mergeCell ref="C41:D42"/>
    <mergeCell ref="C49:D49"/>
    <mergeCell ref="C50:D50"/>
    <mergeCell ref="C51:D51"/>
    <mergeCell ref="B85:E87"/>
    <mergeCell ref="B89:E91"/>
    <mergeCell ref="C9:D9"/>
    <mergeCell ref="C14:D14"/>
    <mergeCell ref="C27:D27"/>
    <mergeCell ref="C78:D79"/>
    <mergeCell ref="C63:D63"/>
    <mergeCell ref="C69:D69"/>
    <mergeCell ref="C12:D13"/>
    <mergeCell ref="C33:D34"/>
    <mergeCell ref="E47:E48"/>
    <mergeCell ref="C47:D48"/>
    <mergeCell ref="E33:E34"/>
    <mergeCell ref="C55:D55"/>
    <mergeCell ref="C70:D70"/>
    <mergeCell ref="E41:E42"/>
    <mergeCell ref="I63:J63"/>
    <mergeCell ref="I69:J69"/>
    <mergeCell ref="I57:J57"/>
    <mergeCell ref="I61:J61"/>
    <mergeCell ref="C53:D54"/>
    <mergeCell ref="E53:E54"/>
    <mergeCell ref="C59:D60"/>
    <mergeCell ref="C67:D68"/>
    <mergeCell ref="E67:E68"/>
    <mergeCell ref="C61:D62"/>
    <mergeCell ref="C65:D65"/>
    <mergeCell ref="F67:G67"/>
    <mergeCell ref="I7:J7"/>
    <mergeCell ref="I31:J31"/>
    <mergeCell ref="I35:J35"/>
    <mergeCell ref="I29:J29"/>
    <mergeCell ref="I30:J30"/>
    <mergeCell ref="B9:B70"/>
    <mergeCell ref="I13:J13"/>
    <mergeCell ref="I70:J70"/>
    <mergeCell ref="C56:D56"/>
    <mergeCell ref="C39:D39"/>
    <mergeCell ref="C64:D64"/>
    <mergeCell ref="C28:D28"/>
    <mergeCell ref="C44:D44"/>
    <mergeCell ref="C45:D45"/>
    <mergeCell ref="I39:J39"/>
    <mergeCell ref="I43:J43"/>
    <mergeCell ref="I37:J37"/>
    <mergeCell ref="I38:J38"/>
    <mergeCell ref="I14:J14"/>
    <mergeCell ref="I27:J27"/>
    <mergeCell ref="C18:C23"/>
    <mergeCell ref="F25:G25"/>
    <mergeCell ref="F33:G33"/>
    <mergeCell ref="F59:G59"/>
    <mergeCell ref="E59:E60"/>
    <mergeCell ref="E18:E23"/>
    <mergeCell ref="F41:G41"/>
    <mergeCell ref="F47:G47"/>
    <mergeCell ref="F53:G53"/>
    <mergeCell ref="E25:E26"/>
    <mergeCell ref="C16:D17"/>
    <mergeCell ref="E16:E17"/>
    <mergeCell ref="F16:G16"/>
    <mergeCell ref="E1:G3"/>
    <mergeCell ref="F7:G7"/>
    <mergeCell ref="C7:D8"/>
    <mergeCell ref="E7:E8"/>
    <mergeCell ref="C10:D11"/>
    <mergeCell ref="C15:D15"/>
  </mergeCells>
  <hyperlinks>
    <hyperlink ref="B85" location="'Serwisy &amp; Pakiety'!A22" display="'Serwisy &amp; Pakiety'!A22" xr:uid="{00000000-0004-0000-0200-000000000000}"/>
    <hyperlink ref="B89" location="DataPower!A7" display="DataPower!A7" xr:uid="{00000000-0004-0000-0200-000001000000}"/>
    <hyperlink ref="B89:E91" location="'Dopłaty - Extra charges'!A69" display="'Dopłaty - Extra charges'!A69" xr:uid="{00000000-0004-0000-0200-000002000000}"/>
    <hyperlink ref="B85:E87" location="'Serwisy &amp; Pakiety'!A40" display="'Serwisy &amp; Pakiety'!A40" xr:uid="{00000000-0004-0000-0200-000003000000}"/>
  </hyperlinks>
  <pageMargins left="0.7" right="0.7" top="0.75" bottom="0.75" header="0.3" footer="0.3"/>
  <pageSetup paperSize="9" orientation="portrait" r:id="rId1"/>
  <ignoredErrors>
    <ignoredError sqref="G28 G44"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pageSetUpPr fitToPage="1"/>
  </sheetPr>
  <dimension ref="B1:U94"/>
  <sheetViews>
    <sheetView zoomScaleNormal="100" workbookViewId="0">
      <pane ySplit="4" topLeftCell="A5" activePane="bottomLeft" state="frozen"/>
      <selection pane="bottomLeft" activeCell="A6" sqref="A6"/>
    </sheetView>
  </sheetViews>
  <sheetFormatPr defaultColWidth="11.42578125" defaultRowHeight="12.75"/>
  <cols>
    <col min="1" max="2" width="2.85546875" style="218" customWidth="1"/>
    <col min="3" max="3" width="28.5703125" style="218" customWidth="1"/>
    <col min="4" max="4" width="24.28515625" style="218" customWidth="1"/>
    <col min="5" max="8" width="27.85546875" style="218" customWidth="1"/>
    <col min="9" max="9" width="25.5703125" style="218" customWidth="1"/>
    <col min="10" max="10" width="10" style="218" customWidth="1"/>
    <col min="11" max="11" width="15.42578125" style="218" customWidth="1"/>
    <col min="12" max="14" width="13.42578125" style="218" customWidth="1"/>
    <col min="15" max="15" width="11" style="218" customWidth="1"/>
    <col min="16" max="16" width="24" style="218" customWidth="1"/>
    <col min="17" max="16384" width="11.42578125" style="218"/>
  </cols>
  <sheetData>
    <row r="1" spans="2:21" ht="12.75" customHeight="1">
      <c r="B1" s="216"/>
      <c r="C1" s="14" t="s">
        <v>14</v>
      </c>
      <c r="D1" s="14"/>
      <c r="E1" s="881" t="str">
        <f>IF('Język - Language'!$B$30="Polski",CONCATENATE("Cennik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F1" s="881"/>
      <c r="G1" s="881"/>
      <c r="H1" s="881"/>
      <c r="I1" s="220"/>
      <c r="J1" s="69"/>
    </row>
    <row r="2" spans="2:21" ht="12.75" customHeight="1">
      <c r="E2" s="881"/>
      <c r="F2" s="881"/>
      <c r="G2" s="881"/>
      <c r="H2" s="881"/>
      <c r="I2" s="220"/>
      <c r="J2" s="69"/>
    </row>
    <row r="3" spans="2:21">
      <c r="E3" s="881"/>
      <c r="F3" s="881"/>
      <c r="G3" s="881"/>
      <c r="H3" s="881"/>
      <c r="I3" s="220"/>
      <c r="J3" s="69"/>
    </row>
    <row r="4" spans="2:21" s="221" customFormat="1" ht="12.75" customHeight="1">
      <c r="C4" s="91" t="str">
        <f>IF('Język - Language'!$B$30="Polski","            Desktop - Emisje dobowe i tygodniowe","            Flat Fee daily and weekly emission")</f>
        <v xml:space="preserve">            Desktop - Emisje dobowe i tygodniowe</v>
      </c>
      <c r="D4" s="70"/>
      <c r="E4" s="70"/>
      <c r="F4" s="70"/>
      <c r="H4" s="215" t="str">
        <f>IF('Język - Language'!$B$30="Polski","PL","EN")</f>
        <v>PL</v>
      </c>
    </row>
    <row r="5" spans="2:21" s="216" customFormat="1" ht="12.75" customHeight="1">
      <c r="C5" s="8"/>
      <c r="D5" s="8"/>
      <c r="E5" s="8"/>
      <c r="F5" s="8"/>
    </row>
    <row r="6" spans="2:21" ht="12.75" customHeight="1">
      <c r="C6" s="30"/>
      <c r="D6" s="30"/>
      <c r="E6" s="30"/>
      <c r="F6" s="30"/>
      <c r="G6" s="30"/>
      <c r="H6" s="30"/>
      <c r="I6" s="30"/>
      <c r="J6" s="30"/>
      <c r="K6" s="30"/>
      <c r="L6" s="30"/>
      <c r="M6" s="30"/>
      <c r="N6" s="30"/>
      <c r="O6" s="30"/>
      <c r="P6" s="73"/>
      <c r="Q6" s="216"/>
    </row>
    <row r="7" spans="2:21" ht="12.75" customHeight="1">
      <c r="C7" s="907" t="s">
        <v>283</v>
      </c>
      <c r="D7" s="907"/>
      <c r="E7" s="907" t="str">
        <f>IF('Język - Language'!$B$30="Polski","MODEL EMISJI","MODEL OF EMISSION")</f>
        <v>MODEL EMISJI</v>
      </c>
      <c r="F7" s="907" t="str">
        <f>IF('Język - Language'!$B$30="Polski","CENA RC","PRICE")</f>
        <v>CENA RC</v>
      </c>
      <c r="G7" s="908"/>
      <c r="H7" s="719"/>
      <c r="I7" s="719"/>
      <c r="J7" s="1077"/>
      <c r="K7" s="1077"/>
      <c r="L7" s="1047"/>
      <c r="M7" s="1047"/>
      <c r="N7" s="709"/>
      <c r="O7" s="112"/>
      <c r="P7" s="112"/>
      <c r="Q7" s="216"/>
      <c r="R7" s="216"/>
      <c r="S7" s="216"/>
      <c r="T7" s="216"/>
      <c r="U7" s="216"/>
    </row>
    <row r="8" spans="2:21" ht="12.75" customHeight="1">
      <c r="C8" s="977"/>
      <c r="D8" s="977"/>
      <c r="E8" s="977"/>
      <c r="F8" s="693" t="str">
        <f>IF('Język - Language'!$B$30="Polski","styczeń-wrzesień","Jan-Sep")</f>
        <v>styczeń-wrzesień</v>
      </c>
      <c r="G8" s="721" t="str">
        <f>IF('Język - Language'!$B$30="Polski","październik-grudzień","Oct-Dec")</f>
        <v>październik-grudzień</v>
      </c>
      <c r="I8" s="719"/>
      <c r="J8" s="705"/>
      <c r="K8" s="705"/>
      <c r="L8" s="705"/>
      <c r="M8" s="705"/>
      <c r="N8" s="705"/>
      <c r="O8" s="7"/>
      <c r="P8" s="24"/>
      <c r="Q8" s="216"/>
      <c r="R8" s="216"/>
      <c r="S8" s="216"/>
      <c r="T8" s="216"/>
      <c r="U8" s="216"/>
    </row>
    <row r="9" spans="2:21" ht="25.5" customHeight="1">
      <c r="B9" s="1041" t="s">
        <v>290</v>
      </c>
      <c r="C9" s="1060" t="s">
        <v>253</v>
      </c>
      <c r="D9" s="1061"/>
      <c r="E9" s="577" t="str">
        <f>IF('Język - Language'!$B$30="Polski","Flat Fee / dzień","Flat Fee / 1 day")</f>
        <v>Flat Fee / dzień</v>
      </c>
      <c r="F9" s="697">
        <v>385000</v>
      </c>
      <c r="G9" s="728">
        <v>460000</v>
      </c>
      <c r="I9" s="720"/>
      <c r="J9" s="708"/>
      <c r="K9" s="708"/>
      <c r="L9" s="708"/>
      <c r="M9" s="707"/>
      <c r="N9" s="707"/>
      <c r="O9" s="707"/>
      <c r="P9" s="707"/>
      <c r="Q9" s="216"/>
      <c r="R9" s="216"/>
      <c r="S9" s="216"/>
      <c r="T9" s="216"/>
      <c r="U9" s="216"/>
    </row>
    <row r="10" spans="2:21" ht="25.5" customHeight="1">
      <c r="B10" s="1041"/>
      <c r="C10" s="911" t="s">
        <v>254</v>
      </c>
      <c r="D10" s="913"/>
      <c r="E10" s="576" t="s">
        <v>154</v>
      </c>
      <c r="F10" s="697">
        <v>470000</v>
      </c>
      <c r="G10" s="728">
        <v>560000</v>
      </c>
      <c r="I10" s="720"/>
      <c r="J10" s="708"/>
      <c r="K10" s="708"/>
      <c r="L10" s="708"/>
      <c r="M10" s="707"/>
      <c r="N10" s="707"/>
      <c r="O10" s="707"/>
      <c r="P10" s="707"/>
      <c r="Q10" s="216"/>
      <c r="R10" s="216"/>
      <c r="S10" s="216"/>
      <c r="T10" s="216"/>
      <c r="U10" s="216"/>
    </row>
    <row r="11" spans="2:21" ht="25.5" customHeight="1">
      <c r="B11" s="1041"/>
      <c r="C11" s="929" t="s">
        <v>309</v>
      </c>
      <c r="D11" s="930"/>
      <c r="E11" s="576" t="s">
        <v>154</v>
      </c>
      <c r="F11" s="694">
        <v>130000</v>
      </c>
      <c r="G11" s="728">
        <v>155000</v>
      </c>
      <c r="I11" s="720"/>
      <c r="J11" s="708"/>
      <c r="K11" s="708"/>
      <c r="L11" s="708"/>
      <c r="M11" s="707"/>
      <c r="N11" s="707"/>
      <c r="O11" s="707"/>
      <c r="P11" s="707"/>
      <c r="Q11" s="216"/>
      <c r="R11" s="216"/>
      <c r="S11" s="216"/>
      <c r="T11" s="216"/>
      <c r="U11" s="216"/>
    </row>
    <row r="12" spans="2:21" ht="25.5" customHeight="1">
      <c r="B12" s="1041"/>
      <c r="C12" s="911" t="s">
        <v>310</v>
      </c>
      <c r="D12" s="913"/>
      <c r="E12" s="576" t="s">
        <v>154</v>
      </c>
      <c r="F12" s="694">
        <v>90000</v>
      </c>
      <c r="G12" s="728">
        <v>110000</v>
      </c>
      <c r="I12" s="720"/>
      <c r="J12" s="708"/>
      <c r="K12" s="708"/>
      <c r="L12" s="708"/>
      <c r="M12" s="707"/>
      <c r="N12" s="707"/>
      <c r="O12" s="707"/>
      <c r="P12" s="707"/>
      <c r="Q12" s="216"/>
      <c r="R12" s="216"/>
      <c r="S12" s="216"/>
      <c r="T12" s="216"/>
      <c r="U12" s="216"/>
    </row>
    <row r="13" spans="2:21" ht="25.5" customHeight="1">
      <c r="B13" s="1041"/>
      <c r="C13" s="929" t="s">
        <v>311</v>
      </c>
      <c r="D13" s="930"/>
      <c r="E13" s="577" t="s">
        <v>154</v>
      </c>
      <c r="F13" s="694">
        <v>65000</v>
      </c>
      <c r="G13" s="728">
        <v>80000</v>
      </c>
      <c r="I13" s="720"/>
      <c r="J13" s="708"/>
      <c r="K13" s="708"/>
      <c r="L13" s="708"/>
      <c r="M13" s="707"/>
      <c r="N13" s="707"/>
      <c r="O13" s="707"/>
      <c r="P13" s="707"/>
      <c r="Q13" s="216"/>
      <c r="R13" s="216"/>
      <c r="S13" s="216"/>
      <c r="T13" s="216"/>
      <c r="U13" s="216"/>
    </row>
    <row r="14" spans="2:21" ht="25.5" customHeight="1">
      <c r="B14" s="1041"/>
      <c r="C14" s="970" t="s">
        <v>217</v>
      </c>
      <c r="D14" s="972"/>
      <c r="E14" s="576" t="s">
        <v>154</v>
      </c>
      <c r="F14" s="694">
        <v>335000</v>
      </c>
      <c r="G14" s="732">
        <v>395000</v>
      </c>
      <c r="I14" s="720"/>
      <c r="J14" s="708"/>
      <c r="K14" s="708"/>
      <c r="L14" s="708"/>
      <c r="M14" s="707"/>
      <c r="N14" s="707"/>
      <c r="O14" s="707"/>
      <c r="P14" s="707"/>
      <c r="Q14" s="216"/>
      <c r="R14" s="216"/>
      <c r="S14" s="216"/>
      <c r="T14" s="216"/>
      <c r="U14" s="216"/>
    </row>
    <row r="15" spans="2:21" ht="25.5" customHeight="1">
      <c r="B15" s="1041"/>
      <c r="C15" s="929" t="s">
        <v>334</v>
      </c>
      <c r="D15" s="930"/>
      <c r="E15" s="577" t="s">
        <v>218</v>
      </c>
      <c r="F15" s="697">
        <v>235000</v>
      </c>
      <c r="G15" s="728">
        <v>280000</v>
      </c>
      <c r="I15" s="720"/>
      <c r="J15" s="1044"/>
      <c r="K15" s="1044"/>
      <c r="L15" s="1044"/>
      <c r="M15" s="1044"/>
      <c r="N15" s="707"/>
      <c r="O15" s="707"/>
      <c r="P15" s="707"/>
      <c r="Q15" s="216"/>
      <c r="R15" s="216"/>
      <c r="S15" s="216"/>
      <c r="T15" s="216"/>
      <c r="U15" s="216"/>
    </row>
    <row r="16" spans="2:21" ht="25.5" customHeight="1">
      <c r="B16" s="1041"/>
      <c r="C16" s="1100" t="s">
        <v>244</v>
      </c>
      <c r="D16" s="1101"/>
      <c r="E16" s="831" t="s">
        <v>114</v>
      </c>
      <c r="F16" s="832">
        <v>450000</v>
      </c>
      <c r="G16" s="833">
        <v>540000</v>
      </c>
      <c r="H16" s="216"/>
      <c r="I16" s="720"/>
      <c r="J16" s="1044"/>
      <c r="K16" s="1044"/>
      <c r="L16" s="1044"/>
      <c r="M16" s="1044"/>
      <c r="N16" s="707"/>
      <c r="O16" s="707"/>
      <c r="P16" s="707"/>
      <c r="Q16" s="216"/>
      <c r="R16" s="216"/>
      <c r="S16" s="216"/>
      <c r="T16" s="216"/>
      <c r="U16" s="216"/>
    </row>
    <row r="17" spans="2:21" s="724" customFormat="1" ht="12.75" customHeight="1">
      <c r="B17" s="1042"/>
      <c r="C17" s="907" t="s">
        <v>283</v>
      </c>
      <c r="D17" s="907"/>
      <c r="E17" s="907" t="str">
        <f>IF('Język - Language'!$B$30="Polski","MODEL EMISJI","MODEL OF EMISSION")</f>
        <v>MODEL EMISJI</v>
      </c>
      <c r="F17" s="907" t="s">
        <v>333</v>
      </c>
      <c r="G17" s="908"/>
      <c r="H17" s="725"/>
      <c r="I17" s="737"/>
      <c r="J17" s="825"/>
      <c r="K17" s="825"/>
      <c r="L17" s="825"/>
      <c r="M17" s="825"/>
      <c r="N17" s="707"/>
      <c r="O17" s="707"/>
      <c r="P17" s="707"/>
      <c r="Q17" s="725"/>
      <c r="R17" s="725"/>
      <c r="S17" s="725"/>
      <c r="T17" s="725"/>
      <c r="U17" s="725"/>
    </row>
    <row r="18" spans="2:21" s="724" customFormat="1" ht="12.75" customHeight="1">
      <c r="B18" s="1042"/>
      <c r="C18" s="977"/>
      <c r="D18" s="977"/>
      <c r="E18" s="977"/>
      <c r="F18" s="819" t="str">
        <f>IF('Język - Language'!$B$30="Polski","dzień","1 day")</f>
        <v>dzień</v>
      </c>
      <c r="G18" s="818" t="str">
        <f>IF('Język - Language'!$B$30="Polski","tydzień","1 week")</f>
        <v>tydzień</v>
      </c>
      <c r="H18" s="725"/>
      <c r="I18" s="737"/>
      <c r="J18" s="825"/>
      <c r="K18" s="825"/>
      <c r="L18" s="825"/>
      <c r="M18" s="825"/>
      <c r="N18" s="707"/>
      <c r="O18" s="707"/>
      <c r="P18" s="707"/>
      <c r="Q18" s="725"/>
      <c r="R18" s="725"/>
      <c r="S18" s="725"/>
      <c r="T18" s="725"/>
      <c r="U18" s="725"/>
    </row>
    <row r="19" spans="2:21" s="724" customFormat="1" ht="25.5" customHeight="1">
      <c r="B19" s="1042"/>
      <c r="C19" s="1102" t="str">
        <f>IF('Język - Language'!$B$30="Polski","Linkt tesktowy w sekcji na WP SG (kierujący na zewnątrz)","Text link in the selected section of WP Home Page (linking outside)")</f>
        <v>Linkt tesktowy w sekcji na WP SG (kierujący na zewnątrz)</v>
      </c>
      <c r="D19" s="837" t="s">
        <v>108</v>
      </c>
      <c r="E19" s="1103" t="s">
        <v>332</v>
      </c>
      <c r="F19" s="834" t="s">
        <v>336</v>
      </c>
      <c r="G19" s="853" t="s">
        <v>362</v>
      </c>
      <c r="H19" s="725"/>
      <c r="I19" s="737"/>
      <c r="J19" s="825"/>
      <c r="K19" s="825"/>
      <c r="L19" s="825"/>
      <c r="M19" s="825"/>
      <c r="N19" s="707"/>
      <c r="O19" s="707"/>
      <c r="P19" s="707"/>
      <c r="Q19" s="725"/>
      <c r="R19" s="725"/>
      <c r="S19" s="725"/>
      <c r="T19" s="725"/>
      <c r="U19" s="725"/>
    </row>
    <row r="20" spans="2:21" s="724" customFormat="1" ht="25.5" customHeight="1">
      <c r="B20" s="1042"/>
      <c r="C20" s="953"/>
      <c r="D20" s="820" t="s">
        <v>31</v>
      </c>
      <c r="E20" s="1104"/>
      <c r="F20" s="836" t="s">
        <v>337</v>
      </c>
      <c r="G20" s="854" t="s">
        <v>347</v>
      </c>
      <c r="H20" s="725"/>
      <c r="I20" s="737"/>
      <c r="J20" s="825"/>
      <c r="K20" s="825"/>
      <c r="L20" s="825"/>
      <c r="M20" s="825"/>
      <c r="N20" s="707"/>
      <c r="O20" s="707"/>
      <c r="P20" s="707"/>
      <c r="Q20" s="725"/>
      <c r="R20" s="725"/>
      <c r="S20" s="725"/>
      <c r="T20" s="725"/>
      <c r="U20" s="725"/>
    </row>
    <row r="21" spans="2:21" s="724" customFormat="1" ht="25.5" customHeight="1">
      <c r="B21" s="1042"/>
      <c r="C21" s="953"/>
      <c r="D21" s="820" t="s">
        <v>110</v>
      </c>
      <c r="E21" s="1104"/>
      <c r="F21" s="835" t="s">
        <v>337</v>
      </c>
      <c r="G21" s="855" t="s">
        <v>347</v>
      </c>
      <c r="H21" s="725"/>
      <c r="I21" s="737"/>
      <c r="J21" s="825"/>
      <c r="K21" s="825"/>
      <c r="L21" s="825"/>
      <c r="M21" s="825"/>
      <c r="N21" s="707"/>
      <c r="O21" s="707"/>
      <c r="P21" s="707"/>
      <c r="Q21" s="725"/>
      <c r="R21" s="725"/>
      <c r="S21" s="725"/>
      <c r="T21" s="725"/>
      <c r="U21" s="725"/>
    </row>
    <row r="22" spans="2:21" s="724" customFormat="1" ht="12.75" customHeight="1">
      <c r="B22" s="1042"/>
      <c r="C22" s="1072" t="s">
        <v>344</v>
      </c>
      <c r="D22" s="981"/>
      <c r="E22" s="981" t="str">
        <f>IF('Język - Language'!$B$30="Polski","MODEL EMISJI / CZAS","TIME")</f>
        <v>MODEL EMISJI / CZAS</v>
      </c>
      <c r="F22" s="981" t="s">
        <v>333</v>
      </c>
      <c r="G22" s="986"/>
      <c r="H22" s="725"/>
      <c r="I22" s="737"/>
      <c r="J22" s="825"/>
      <c r="K22" s="825"/>
      <c r="L22" s="825"/>
      <c r="M22" s="825"/>
      <c r="N22" s="707"/>
      <c r="O22" s="707"/>
      <c r="P22" s="707"/>
      <c r="Q22" s="725"/>
      <c r="R22" s="725"/>
      <c r="S22" s="725"/>
      <c r="T22" s="725"/>
      <c r="U22" s="725"/>
    </row>
    <row r="23" spans="2:21" s="724" customFormat="1" ht="12.75" customHeight="1">
      <c r="B23" s="1042"/>
      <c r="C23" s="1073"/>
      <c r="D23" s="982"/>
      <c r="E23" s="982"/>
      <c r="F23" s="821" t="str">
        <f>IF('Język - Language'!$B$30="Polski","dzień","1 day")</f>
        <v>dzień</v>
      </c>
      <c r="G23" s="828" t="str">
        <f>IF('Język - Language'!$B$30="Polski","tydzień","1 week")</f>
        <v>tydzień</v>
      </c>
      <c r="H23" s="725"/>
      <c r="I23" s="737"/>
      <c r="J23" s="825"/>
      <c r="K23" s="825"/>
      <c r="L23" s="825"/>
      <c r="M23" s="825"/>
      <c r="N23" s="707"/>
      <c r="O23" s="707"/>
      <c r="P23" s="707"/>
      <c r="Q23" s="725"/>
      <c r="R23" s="725"/>
      <c r="S23" s="725"/>
      <c r="T23" s="725"/>
      <c r="U23" s="725"/>
    </row>
    <row r="24" spans="2:21" s="724" customFormat="1" ht="25.5" customHeight="1">
      <c r="B24" s="1042"/>
      <c r="C24" s="839" t="s">
        <v>345</v>
      </c>
      <c r="D24" s="838" t="s">
        <v>346</v>
      </c>
      <c r="E24" s="840" t="s">
        <v>332</v>
      </c>
      <c r="F24" s="842" t="s">
        <v>337</v>
      </c>
      <c r="G24" s="843" t="s">
        <v>347</v>
      </c>
      <c r="H24" s="725"/>
      <c r="I24" s="737"/>
      <c r="J24" s="825"/>
      <c r="K24" s="825"/>
      <c r="L24" s="825"/>
      <c r="M24" s="825"/>
      <c r="N24" s="707"/>
      <c r="O24" s="707"/>
      <c r="P24" s="707"/>
      <c r="Q24" s="725"/>
      <c r="R24" s="725"/>
      <c r="S24" s="725"/>
      <c r="T24" s="725"/>
      <c r="U24" s="725"/>
    </row>
    <row r="25" spans="2:21" ht="25.5" customHeight="1">
      <c r="B25" s="1042"/>
      <c r="C25" s="277"/>
      <c r="D25" s="277"/>
      <c r="E25" s="710"/>
      <c r="F25" s="703"/>
      <c r="G25" s="713"/>
      <c r="H25" s="703"/>
      <c r="I25" s="703"/>
      <c r="J25" s="708"/>
      <c r="K25" s="708"/>
      <c r="L25" s="708"/>
      <c r="M25" s="708"/>
      <c r="N25" s="707"/>
      <c r="O25" s="707"/>
      <c r="P25" s="707"/>
      <c r="Q25" s="216"/>
      <c r="R25" s="216"/>
      <c r="S25" s="216"/>
      <c r="T25" s="216"/>
      <c r="U25" s="216"/>
    </row>
    <row r="26" spans="2:21" ht="12.75" customHeight="1">
      <c r="B26" s="1042"/>
      <c r="C26" s="1063" t="s">
        <v>291</v>
      </c>
      <c r="D26" s="998"/>
      <c r="E26" s="998" t="str">
        <f>IF('Język - Language'!$B$30="Polski","MODEL EMISJI / CZAS","TIME")</f>
        <v>MODEL EMISJI / CZAS</v>
      </c>
      <c r="F26" s="998" t="str">
        <f>IF('Język - Language'!$B$30="Polski","CENA RC","PRICE")</f>
        <v>CENA RC</v>
      </c>
      <c r="G26" s="1037"/>
      <c r="H26" s="722"/>
      <c r="I26" s="722"/>
      <c r="J26" s="708"/>
      <c r="K26" s="708"/>
      <c r="L26" s="708"/>
      <c r="M26" s="708"/>
      <c r="N26" s="707"/>
      <c r="O26" s="707"/>
      <c r="P26" s="707"/>
      <c r="Q26" s="216"/>
      <c r="R26" s="216"/>
      <c r="S26" s="216"/>
      <c r="T26" s="216"/>
      <c r="U26" s="216"/>
    </row>
    <row r="27" spans="2:21" ht="12.75" customHeight="1">
      <c r="B27" s="1042"/>
      <c r="C27" s="1064"/>
      <c r="D27" s="1062"/>
      <c r="E27" s="1062"/>
      <c r="F27" s="748" t="str">
        <f>IF('Język - Language'!$B$30="Polski","styczeń-wrzesień","Jan-Sep")</f>
        <v>styczeń-wrzesień</v>
      </c>
      <c r="G27" s="758" t="str">
        <f>IF('Język - Language'!$B$30="Polski","październik-grudzień","Oct-Dec")</f>
        <v>październik-grudzień</v>
      </c>
      <c r="H27" s="722"/>
      <c r="I27" s="722"/>
      <c r="J27" s="708"/>
      <c r="K27" s="708"/>
      <c r="L27" s="708"/>
      <c r="M27" s="708"/>
      <c r="N27" s="707"/>
      <c r="O27" s="707"/>
      <c r="P27" s="707"/>
      <c r="Q27" s="216"/>
      <c r="R27" s="216"/>
      <c r="S27" s="216"/>
      <c r="T27" s="216"/>
      <c r="U27" s="216"/>
    </row>
    <row r="28" spans="2:21" ht="25.5" customHeight="1">
      <c r="B28" s="1041"/>
      <c r="C28" s="929" t="s">
        <v>317</v>
      </c>
      <c r="D28" s="930"/>
      <c r="E28" s="576" t="str">
        <f>IF('Język - Language'!$B$30="Polski","Flat Fee / dzień","Flat Fee / 1 day")</f>
        <v>Flat Fee / dzień</v>
      </c>
      <c r="F28" s="808">
        <v>55000</v>
      </c>
      <c r="G28" s="728">
        <f t="shared" ref="G28:G30" si="0">_xlfn.CEILING.PRECISE(F28+(F28*0.2),5000)</f>
        <v>70000</v>
      </c>
      <c r="H28" s="720"/>
      <c r="I28" s="720"/>
      <c r="J28" s="708"/>
      <c r="K28" s="708"/>
      <c r="L28" s="708"/>
      <c r="M28" s="708"/>
      <c r="N28" s="707"/>
      <c r="O28" s="707"/>
      <c r="P28" s="707"/>
      <c r="Q28" s="216"/>
      <c r="R28" s="216"/>
      <c r="S28" s="216"/>
      <c r="T28" s="216"/>
      <c r="U28" s="216"/>
    </row>
    <row r="29" spans="2:21" ht="25.5" customHeight="1">
      <c r="B29" s="1041"/>
      <c r="C29" s="914" t="s">
        <v>165</v>
      </c>
      <c r="D29" s="916"/>
      <c r="E29" s="576" t="str">
        <f>IF('Język - Language'!$B$30="Polski","Flat Fee / dzień","Flat Fee / 1 day")</f>
        <v>Flat Fee / dzień</v>
      </c>
      <c r="F29" s="694">
        <v>50000</v>
      </c>
      <c r="G29" s="728">
        <f t="shared" si="0"/>
        <v>60000</v>
      </c>
      <c r="H29" s="720"/>
      <c r="I29" s="720"/>
      <c r="J29" s="708"/>
      <c r="K29" s="708"/>
      <c r="L29" s="708"/>
      <c r="M29" s="708"/>
      <c r="N29" s="707"/>
      <c r="O29" s="707"/>
      <c r="P29" s="707"/>
      <c r="Q29" s="216"/>
      <c r="R29" s="216"/>
      <c r="S29" s="216"/>
      <c r="T29" s="216"/>
      <c r="U29" s="216"/>
    </row>
    <row r="30" spans="2:21" ht="25.5" customHeight="1">
      <c r="B30" s="1041"/>
      <c r="C30" s="1098"/>
      <c r="D30" s="1099"/>
      <c r="E30" s="844" t="str">
        <f>IF('Język - Language'!$B$30="Polski","Flat Fee / tydzień","Flat Fee / 1 week")</f>
        <v>Flat Fee / tydzień</v>
      </c>
      <c r="F30" s="845">
        <v>210000</v>
      </c>
      <c r="G30" s="846">
        <f t="shared" si="0"/>
        <v>255000</v>
      </c>
      <c r="H30" s="720"/>
      <c r="I30" s="720"/>
      <c r="J30" s="708"/>
      <c r="K30" s="708"/>
      <c r="L30" s="708"/>
      <c r="M30" s="708"/>
      <c r="N30" s="707"/>
      <c r="O30" s="707"/>
      <c r="P30" s="707"/>
      <c r="Q30" s="216"/>
      <c r="R30" s="216"/>
      <c r="S30" s="216"/>
      <c r="T30" s="216"/>
      <c r="U30" s="216"/>
    </row>
    <row r="31" spans="2:21" s="724" customFormat="1" ht="12.75" customHeight="1">
      <c r="B31" s="1042"/>
      <c r="C31" s="998" t="s">
        <v>344</v>
      </c>
      <c r="D31" s="998"/>
      <c r="E31" s="998" t="str">
        <f>IF('Język - Language'!$B$30="Polski","MODEL EMISJI / CZAS","TIME")</f>
        <v>MODEL EMISJI / CZAS</v>
      </c>
      <c r="F31" s="998" t="s">
        <v>333</v>
      </c>
      <c r="G31" s="1037"/>
      <c r="H31" s="737"/>
      <c r="I31" s="737"/>
      <c r="J31" s="825"/>
      <c r="K31" s="825"/>
      <c r="L31" s="825"/>
      <c r="M31" s="825"/>
      <c r="N31" s="707"/>
      <c r="O31" s="707"/>
      <c r="P31" s="707"/>
      <c r="Q31" s="725"/>
      <c r="R31" s="725"/>
      <c r="S31" s="725"/>
      <c r="T31" s="725"/>
      <c r="U31" s="725"/>
    </row>
    <row r="32" spans="2:21" s="724" customFormat="1" ht="12.75" customHeight="1">
      <c r="B32" s="1042"/>
      <c r="C32" s="1062"/>
      <c r="D32" s="1062"/>
      <c r="E32" s="1062"/>
      <c r="F32" s="826" t="str">
        <f>IF('Język - Language'!$B$30="Polski","dzień","1 day")</f>
        <v>dzień</v>
      </c>
      <c r="G32" s="758" t="str">
        <f>IF('Język - Language'!$B$30="Polski","tydzień","1 week")</f>
        <v>tydzień</v>
      </c>
      <c r="H32" s="737"/>
      <c r="I32" s="737"/>
      <c r="J32" s="825"/>
      <c r="K32" s="825"/>
      <c r="L32" s="825"/>
      <c r="M32" s="825"/>
      <c r="N32" s="707"/>
      <c r="O32" s="707"/>
      <c r="P32" s="707"/>
      <c r="Q32" s="725"/>
      <c r="R32" s="725"/>
      <c r="S32" s="725"/>
      <c r="T32" s="725"/>
      <c r="U32" s="725"/>
    </row>
    <row r="33" spans="2:21" s="724" customFormat="1" ht="25.5" customHeight="1">
      <c r="B33" s="1042"/>
      <c r="C33" s="822" t="s">
        <v>345</v>
      </c>
      <c r="D33" s="823" t="s">
        <v>346</v>
      </c>
      <c r="E33" s="639" t="s">
        <v>332</v>
      </c>
      <c r="F33" s="841" t="s">
        <v>337</v>
      </c>
      <c r="G33" s="847" t="s">
        <v>347</v>
      </c>
      <c r="H33" s="737"/>
      <c r="I33" s="737"/>
      <c r="J33" s="825"/>
      <c r="K33" s="825"/>
      <c r="L33" s="825"/>
      <c r="M33" s="825"/>
      <c r="N33" s="707"/>
      <c r="O33" s="707"/>
      <c r="P33" s="707"/>
      <c r="Q33" s="725"/>
      <c r="R33" s="725"/>
      <c r="S33" s="725"/>
      <c r="T33" s="725"/>
      <c r="U33" s="725"/>
    </row>
    <row r="34" spans="2:21" ht="25.5" customHeight="1">
      <c r="B34" s="1042"/>
      <c r="C34" s="277"/>
      <c r="D34" s="277"/>
      <c r="E34" s="710"/>
      <c r="F34" s="703"/>
      <c r="G34" s="703"/>
      <c r="H34" s="703"/>
      <c r="I34" s="703"/>
      <c r="J34" s="708"/>
      <c r="K34" s="708"/>
      <c r="L34" s="708"/>
      <c r="M34" s="708"/>
      <c r="N34" s="707"/>
      <c r="O34" s="707"/>
      <c r="P34" s="707"/>
      <c r="Q34" s="216"/>
      <c r="R34" s="216"/>
      <c r="S34" s="216"/>
      <c r="T34" s="216"/>
      <c r="U34" s="216"/>
    </row>
    <row r="35" spans="2:21" ht="12.75" customHeight="1">
      <c r="B35" s="1042"/>
      <c r="C35" s="1048" t="s">
        <v>292</v>
      </c>
      <c r="D35" s="1038"/>
      <c r="E35" s="1038" t="str">
        <f>IF('Język - Language'!$B$30="Polski","MODEL EMISJI","MODEL OF EMISSION")</f>
        <v>MODEL EMISJI</v>
      </c>
      <c r="F35" s="1038" t="str">
        <f>IF('Język - Language'!$B$30="Polski","CENA RC","PRICE")</f>
        <v>CENA RC</v>
      </c>
      <c r="G35" s="1039"/>
      <c r="H35" s="719"/>
      <c r="I35" s="719"/>
      <c r="J35" s="708"/>
      <c r="K35" s="708"/>
      <c r="L35" s="708"/>
      <c r="M35" s="708"/>
      <c r="N35" s="707"/>
      <c r="O35" s="707"/>
      <c r="P35" s="707"/>
      <c r="Q35" s="216"/>
      <c r="R35" s="216"/>
      <c r="S35" s="216"/>
      <c r="T35" s="216"/>
      <c r="U35" s="216"/>
    </row>
    <row r="36" spans="2:21" ht="12.75" customHeight="1">
      <c r="B36" s="1042"/>
      <c r="C36" s="1049"/>
      <c r="D36" s="1050"/>
      <c r="E36" s="1050"/>
      <c r="F36" s="1050"/>
      <c r="G36" s="1076"/>
      <c r="H36" s="719"/>
      <c r="I36" s="719"/>
      <c r="J36" s="708"/>
      <c r="K36" s="708"/>
      <c r="L36" s="708"/>
      <c r="M36" s="708"/>
      <c r="N36" s="707"/>
      <c r="O36" s="707"/>
      <c r="P36" s="707"/>
      <c r="Q36" s="216"/>
      <c r="R36" s="216"/>
      <c r="S36" s="216"/>
      <c r="T36" s="216"/>
      <c r="U36" s="216"/>
    </row>
    <row r="37" spans="2:21" ht="25.5" customHeight="1">
      <c r="B37" s="1041"/>
      <c r="C37" s="1074" t="s">
        <v>163</v>
      </c>
      <c r="D37" s="1075"/>
      <c r="E37" s="577" t="s">
        <v>154</v>
      </c>
      <c r="F37" s="801">
        <v>25000</v>
      </c>
      <c r="G37" s="312">
        <f t="shared" ref="G37:G38" si="1">_xlfn.CEILING.PRECISE(F37+(F37*0.2),5000)</f>
        <v>30000</v>
      </c>
      <c r="H37" s="720"/>
      <c r="I37" s="720"/>
      <c r="J37" s="708"/>
      <c r="K37" s="708"/>
      <c r="L37" s="708"/>
      <c r="M37" s="708"/>
      <c r="N37" s="707"/>
      <c r="O37" s="707"/>
      <c r="P37" s="707"/>
      <c r="Q37" s="216"/>
      <c r="R37" s="216"/>
      <c r="S37" s="216"/>
      <c r="T37" s="216"/>
      <c r="U37" s="216"/>
    </row>
    <row r="38" spans="2:21" ht="25.5" customHeight="1">
      <c r="B38" s="1041"/>
      <c r="C38" s="914" t="s">
        <v>164</v>
      </c>
      <c r="D38" s="916"/>
      <c r="E38" s="146" t="s">
        <v>154</v>
      </c>
      <c r="F38" s="529">
        <v>35000</v>
      </c>
      <c r="G38" s="586">
        <f t="shared" si="1"/>
        <v>45000</v>
      </c>
      <c r="H38" s="720"/>
      <c r="I38" s="720"/>
      <c r="J38" s="708"/>
      <c r="K38" s="708"/>
      <c r="L38" s="708"/>
      <c r="M38" s="708"/>
      <c r="N38" s="707"/>
      <c r="O38" s="707"/>
      <c r="P38" s="707"/>
      <c r="Q38" s="216"/>
      <c r="R38" s="216"/>
      <c r="S38" s="216"/>
      <c r="T38" s="216"/>
      <c r="U38" s="216"/>
    </row>
    <row r="39" spans="2:21" ht="12.75" customHeight="1">
      <c r="B39" s="1041"/>
      <c r="C39" s="1048" t="s">
        <v>287</v>
      </c>
      <c r="D39" s="1038"/>
      <c r="E39" s="1038" t="str">
        <f>IF('Język - Language'!$B$30="Polski","MODEL EMISJI","MODEL OF EMISSION")</f>
        <v>MODEL EMISJI</v>
      </c>
      <c r="F39" s="1038" t="str">
        <f>IF('Język - Language'!$B$30="Polski","CENA RC","PRICE")</f>
        <v>CENA RC</v>
      </c>
      <c r="G39" s="1039"/>
      <c r="H39" s="720"/>
      <c r="I39" s="720"/>
      <c r="J39" s="708"/>
      <c r="K39" s="708"/>
      <c r="L39" s="708"/>
      <c r="M39" s="708"/>
      <c r="N39" s="707"/>
      <c r="O39" s="707"/>
      <c r="P39" s="707"/>
      <c r="Q39" s="216"/>
      <c r="R39" s="216"/>
      <c r="S39" s="216"/>
      <c r="T39" s="216"/>
      <c r="U39" s="216"/>
    </row>
    <row r="40" spans="2:21" ht="12.75" customHeight="1">
      <c r="B40" s="1041"/>
      <c r="C40" s="1049"/>
      <c r="D40" s="1050"/>
      <c r="E40" s="1050"/>
      <c r="F40" s="1050"/>
      <c r="G40" s="1076"/>
      <c r="H40" s="720"/>
      <c r="I40" s="720"/>
      <c r="J40" s="708"/>
      <c r="K40" s="708"/>
      <c r="L40" s="708"/>
      <c r="M40" s="708"/>
      <c r="N40" s="707"/>
      <c r="O40" s="707"/>
      <c r="P40" s="707"/>
      <c r="Q40" s="216"/>
      <c r="R40" s="216"/>
      <c r="S40" s="216"/>
      <c r="T40" s="216"/>
      <c r="U40" s="216"/>
    </row>
    <row r="41" spans="2:21" ht="25.5" customHeight="1">
      <c r="B41" s="1041"/>
      <c r="C41" s="1074" t="s">
        <v>221</v>
      </c>
      <c r="D41" s="1075"/>
      <c r="E41" s="576" t="s">
        <v>159</v>
      </c>
      <c r="F41" s="801">
        <v>40000</v>
      </c>
      <c r="G41" s="312">
        <f t="shared" ref="G41:G42" si="2">_xlfn.CEILING.PRECISE(F41+(F41*0.2),5000)</f>
        <v>50000</v>
      </c>
      <c r="H41" s="720"/>
      <c r="I41" s="720"/>
      <c r="J41" s="1044"/>
      <c r="K41" s="1044"/>
      <c r="L41" s="1044"/>
      <c r="M41" s="1044"/>
      <c r="N41" s="707"/>
      <c r="O41" s="707"/>
      <c r="P41" s="707"/>
      <c r="Q41" s="216"/>
      <c r="R41" s="216"/>
      <c r="S41" s="216"/>
      <c r="T41" s="216"/>
      <c r="U41" s="216"/>
    </row>
    <row r="42" spans="2:21" s="724" customFormat="1" ht="25.5" customHeight="1">
      <c r="B42" s="1042"/>
      <c r="C42" s="920" t="s">
        <v>165</v>
      </c>
      <c r="D42" s="936"/>
      <c r="E42" s="696" t="s">
        <v>154</v>
      </c>
      <c r="F42" s="763">
        <v>60000</v>
      </c>
      <c r="G42" s="586">
        <f t="shared" si="2"/>
        <v>75000</v>
      </c>
      <c r="H42" s="737"/>
      <c r="I42" s="737"/>
      <c r="J42" s="717"/>
      <c r="K42" s="717"/>
      <c r="L42" s="717"/>
      <c r="M42" s="717"/>
      <c r="N42" s="707"/>
      <c r="O42" s="707"/>
      <c r="P42" s="707"/>
      <c r="Q42" s="725"/>
      <c r="R42" s="725"/>
      <c r="S42" s="725"/>
      <c r="T42" s="725"/>
      <c r="U42" s="725"/>
    </row>
    <row r="43" spans="2:21" ht="25.5" customHeight="1">
      <c r="B43" s="1042"/>
      <c r="C43" s="712"/>
      <c r="D43" s="712"/>
      <c r="E43" s="710"/>
      <c r="F43" s="703"/>
      <c r="G43" s="703"/>
      <c r="H43" s="703"/>
      <c r="I43" s="703"/>
      <c r="J43" s="708"/>
      <c r="K43" s="708"/>
      <c r="L43" s="708"/>
      <c r="M43" s="708"/>
      <c r="N43" s="707"/>
      <c r="O43" s="707"/>
      <c r="P43" s="707"/>
      <c r="Q43" s="216"/>
      <c r="R43" s="216"/>
      <c r="S43" s="216"/>
      <c r="T43" s="216"/>
      <c r="U43" s="216"/>
    </row>
    <row r="44" spans="2:21" ht="12.75" customHeight="1">
      <c r="B44" s="1042"/>
      <c r="C44" s="1055" t="s">
        <v>22</v>
      </c>
      <c r="D44" s="907"/>
      <c r="E44" s="907" t="str">
        <f>IF('Język - Language'!$B$30="Polski","MODEL EMISJI","MODEL OF EMISSION")</f>
        <v>MODEL EMISJI</v>
      </c>
      <c r="F44" s="907" t="str">
        <f>IF('Język - Language'!$B$30="Polski","CENA RC","PRICE")</f>
        <v>CENA RC</v>
      </c>
      <c r="G44" s="908"/>
      <c r="H44" s="719"/>
      <c r="I44" s="719"/>
      <c r="J44" s="708"/>
      <c r="K44" s="708"/>
      <c r="L44" s="708"/>
      <c r="M44" s="708"/>
      <c r="N44" s="707"/>
      <c r="O44" s="707"/>
      <c r="P44" s="707"/>
      <c r="Q44" s="216"/>
      <c r="R44" s="216"/>
      <c r="S44" s="216"/>
      <c r="T44" s="216"/>
      <c r="U44" s="216"/>
    </row>
    <row r="45" spans="2:21" ht="12.75" customHeight="1">
      <c r="B45" s="1042"/>
      <c r="C45" s="1056"/>
      <c r="D45" s="977"/>
      <c r="E45" s="977"/>
      <c r="F45" s="977"/>
      <c r="G45" s="908"/>
      <c r="H45" s="719"/>
      <c r="I45" s="719"/>
      <c r="J45" s="708"/>
      <c r="K45" s="708"/>
      <c r="L45" s="708"/>
      <c r="M45" s="708"/>
      <c r="N45" s="707"/>
      <c r="O45" s="707"/>
      <c r="P45" s="707"/>
      <c r="Q45" s="216"/>
      <c r="R45" s="216"/>
      <c r="S45" s="216"/>
      <c r="T45" s="216"/>
      <c r="U45" s="216"/>
    </row>
    <row r="46" spans="2:21" ht="25.5" customHeight="1">
      <c r="B46" s="1041"/>
      <c r="C46" s="1060" t="s">
        <v>317</v>
      </c>
      <c r="D46" s="1061"/>
      <c r="E46" s="812" t="s">
        <v>154</v>
      </c>
      <c r="F46" s="804">
        <v>70000</v>
      </c>
      <c r="G46" s="742">
        <f t="shared" ref="G46:G49" si="3">_xlfn.CEILING.PRECISE(F46+(F46*0.2),5000)</f>
        <v>85000</v>
      </c>
      <c r="H46" s="720"/>
      <c r="I46" s="720"/>
      <c r="J46" s="1044"/>
      <c r="K46" s="1044"/>
      <c r="L46" s="1044"/>
      <c r="M46" s="1044"/>
      <c r="N46" s="707"/>
      <c r="O46" s="707"/>
      <c r="P46" s="707"/>
      <c r="Q46" s="216"/>
      <c r="R46" s="216"/>
      <c r="S46" s="216"/>
      <c r="T46" s="216"/>
      <c r="U46" s="216"/>
    </row>
    <row r="47" spans="2:21" s="724" customFormat="1" ht="25.5" customHeight="1">
      <c r="B47" s="718"/>
      <c r="C47" s="911" t="s">
        <v>302</v>
      </c>
      <c r="D47" s="913"/>
      <c r="E47" s="800" t="s">
        <v>159</v>
      </c>
      <c r="F47" s="694">
        <v>230000</v>
      </c>
      <c r="G47" s="732">
        <f t="shared" si="3"/>
        <v>280000</v>
      </c>
      <c r="H47" s="737"/>
      <c r="I47" s="737"/>
      <c r="J47" s="717"/>
      <c r="K47" s="717"/>
      <c r="L47" s="717"/>
      <c r="M47" s="717"/>
      <c r="N47" s="707"/>
      <c r="O47" s="707"/>
      <c r="P47" s="707"/>
      <c r="Q47" s="725"/>
      <c r="R47" s="725"/>
      <c r="S47" s="725"/>
      <c r="T47" s="725"/>
      <c r="U47" s="725"/>
    </row>
    <row r="48" spans="2:21" s="724" customFormat="1" ht="25.5" customHeight="1">
      <c r="B48" s="718"/>
      <c r="C48" s="911" t="s">
        <v>303</v>
      </c>
      <c r="D48" s="913"/>
      <c r="E48" s="800" t="s">
        <v>159</v>
      </c>
      <c r="F48" s="694">
        <v>290000</v>
      </c>
      <c r="G48" s="732">
        <f t="shared" si="3"/>
        <v>350000</v>
      </c>
      <c r="H48" s="737"/>
      <c r="I48" s="737"/>
      <c r="J48" s="717"/>
      <c r="K48" s="717"/>
      <c r="L48" s="717"/>
      <c r="M48" s="717"/>
      <c r="N48" s="707"/>
      <c r="O48" s="707"/>
      <c r="P48" s="707"/>
      <c r="Q48" s="725"/>
      <c r="R48" s="725"/>
      <c r="S48" s="725"/>
      <c r="T48" s="725"/>
      <c r="U48" s="725"/>
    </row>
    <row r="49" spans="2:21" s="724" customFormat="1" ht="25.5" customHeight="1">
      <c r="B49" s="718"/>
      <c r="C49" s="1008" t="s">
        <v>165</v>
      </c>
      <c r="D49" s="1010"/>
      <c r="E49" s="745" t="s">
        <v>154</v>
      </c>
      <c r="F49" s="763">
        <v>120000</v>
      </c>
      <c r="G49" s="586">
        <f t="shared" si="3"/>
        <v>145000</v>
      </c>
      <c r="H49" s="737"/>
      <c r="I49" s="737"/>
      <c r="J49" s="717"/>
      <c r="K49" s="717"/>
      <c r="L49" s="717"/>
      <c r="M49" s="717"/>
      <c r="N49" s="707"/>
      <c r="O49" s="707"/>
      <c r="P49" s="707"/>
      <c r="Q49" s="725"/>
      <c r="R49" s="725"/>
      <c r="S49" s="725"/>
      <c r="T49" s="725"/>
      <c r="U49" s="725"/>
    </row>
    <row r="50" spans="2:21">
      <c r="B50" s="723"/>
      <c r="C50" s="513" t="s">
        <v>293</v>
      </c>
      <c r="D50" s="231"/>
      <c r="E50" s="231"/>
      <c r="F50" s="231"/>
      <c r="G50" s="231"/>
      <c r="H50" s="231"/>
      <c r="L50" s="73"/>
    </row>
    <row r="51" spans="2:21">
      <c r="B51" s="216"/>
      <c r="C51" s="513" t="str">
        <f>IF('Język - Language'!$B$30="Polski","² dopłata do opcji Full Page wynosi 25%","² surcharge for the Full Page option is 25%")</f>
        <v>² dopłata do opcji Full Page wynosi 25%</v>
      </c>
      <c r="D51" s="231"/>
      <c r="E51" s="231"/>
      <c r="F51" s="231"/>
      <c r="G51" s="231"/>
      <c r="H51" s="231"/>
      <c r="L51" s="73"/>
    </row>
    <row r="52" spans="2:21" s="724" customFormat="1">
      <c r="B52" s="725"/>
      <c r="C52" s="513" t="s">
        <v>335</v>
      </c>
      <c r="D52" s="231"/>
      <c r="E52" s="231"/>
      <c r="F52" s="231"/>
      <c r="G52" s="231"/>
      <c r="H52" s="231"/>
      <c r="L52" s="73"/>
    </row>
    <row r="53" spans="2:21">
      <c r="B53" s="216"/>
      <c r="C53" s="513"/>
      <c r="D53" s="231"/>
      <c r="E53" s="231"/>
      <c r="F53" s="231"/>
      <c r="G53" s="231"/>
      <c r="H53" s="231"/>
      <c r="L53" s="73"/>
    </row>
    <row r="54" spans="2:21">
      <c r="C54" s="110"/>
      <c r="D54" s="110"/>
      <c r="E54" s="74"/>
      <c r="F54" s="74"/>
      <c r="G54" s="36"/>
      <c r="H54" s="36"/>
      <c r="I54" s="7"/>
      <c r="J54" s="7"/>
      <c r="K54" s="24"/>
      <c r="L54" s="216"/>
      <c r="M54" s="216"/>
      <c r="N54" s="216"/>
      <c r="O54" s="216"/>
      <c r="P54" s="216"/>
    </row>
    <row r="55" spans="2:21" ht="25.5" customHeight="1">
      <c r="C55" s="1082" t="str">
        <f>IF('Język - Language'!$B$30="Polski",CONCATENATE("NAGŁÓWEK SPONSOROWANY",CHAR(10),"MIEJSCE EMISJI"),CONCATENATE("SPONSORED HEADING",CHAR(10),"PLACE OF EMISSION"))</f>
        <v>NAGŁÓWEK SPONSOROWANY
MIEJSCE EMISJI</v>
      </c>
      <c r="D55" s="1082"/>
      <c r="E55" s="1083" t="str">
        <f>IF('Język - Language'!$B$30="Polski","Nagłówek sponsorowany (FF / tydzień)","Sponsored heading (FF / week)")</f>
        <v>Nagłówek sponsorowany (FF / tydzień)</v>
      </c>
      <c r="F55" s="1084"/>
      <c r="G55" s="1097"/>
      <c r="H55" s="1097"/>
      <c r="I55" s="6"/>
      <c r="J55" s="654"/>
      <c r="K55" s="654"/>
    </row>
    <row r="56" spans="2:21" ht="12.75" customHeight="1">
      <c r="C56" s="659"/>
      <c r="D56" s="659"/>
      <c r="E56" s="658" t="str">
        <f>IF('Język - Language'!$B$30="Polski","standard / CENA RC","standard / RC PRICE")</f>
        <v>standard / CENA RC</v>
      </c>
      <c r="F56" s="762" t="str">
        <f>IF('Język - Language'!$B$30="Polski","+ tapeta (1/uu / dzień) / CENA RC"," + Wallpaper (1/uu / day) RC PRICE")</f>
        <v>+ tapeta (1/uu / dzień) / CENA RC</v>
      </c>
      <c r="G56" s="1097"/>
      <c r="H56" s="1097"/>
      <c r="I56" s="6"/>
      <c r="J56" s="654"/>
      <c r="K56" s="654"/>
    </row>
    <row r="57" spans="2:21" ht="12.75" customHeight="1">
      <c r="B57" s="1041" t="s">
        <v>15</v>
      </c>
      <c r="C57" s="1095" t="s">
        <v>24</v>
      </c>
      <c r="D57" s="1096"/>
      <c r="E57" s="637">
        <v>20000</v>
      </c>
      <c r="F57" s="809">
        <v>25000</v>
      </c>
      <c r="G57" s="1086"/>
      <c r="H57" s="1086"/>
      <c r="I57" s="184"/>
      <c r="J57" s="654"/>
      <c r="K57" s="654"/>
      <c r="L57" s="654"/>
      <c r="N57" s="216"/>
    </row>
    <row r="58" spans="2:21" ht="12.75" customHeight="1">
      <c r="B58" s="1041"/>
      <c r="C58" s="1080" t="s">
        <v>105</v>
      </c>
      <c r="D58" s="1081"/>
      <c r="E58" s="636">
        <v>150000</v>
      </c>
      <c r="F58" s="810">
        <v>210000</v>
      </c>
      <c r="G58" s="1086"/>
      <c r="H58" s="1086"/>
      <c r="I58" s="184"/>
      <c r="J58" s="654"/>
      <c r="K58" s="654"/>
      <c r="L58" s="654"/>
      <c r="N58" s="216"/>
    </row>
    <row r="59" spans="2:21" ht="12.75" customHeight="1">
      <c r="B59" s="1041"/>
      <c r="C59" s="1080" t="s">
        <v>22</v>
      </c>
      <c r="D59" s="1081"/>
      <c r="E59" s="636">
        <v>230000</v>
      </c>
      <c r="F59" s="810">
        <v>290000</v>
      </c>
      <c r="G59" s="1086"/>
      <c r="H59" s="1086"/>
      <c r="I59" s="184"/>
      <c r="J59" s="654"/>
      <c r="K59" s="654"/>
      <c r="L59" s="654"/>
      <c r="N59" s="216"/>
    </row>
    <row r="60" spans="2:21" ht="12.75" customHeight="1">
      <c r="B60" s="1041"/>
      <c r="C60" s="1080" t="s">
        <v>13</v>
      </c>
      <c r="D60" s="1081"/>
      <c r="E60" s="636">
        <v>200000</v>
      </c>
      <c r="F60" s="810">
        <v>280000</v>
      </c>
      <c r="G60" s="1085"/>
      <c r="H60" s="1085"/>
      <c r="I60" s="184"/>
      <c r="J60" s="654"/>
      <c r="K60" s="654"/>
      <c r="L60" s="654"/>
      <c r="N60" s="216"/>
    </row>
    <row r="61" spans="2:21" ht="12.75" customHeight="1">
      <c r="B61" s="1041"/>
      <c r="C61" s="1080" t="s">
        <v>16</v>
      </c>
      <c r="D61" s="1081"/>
      <c r="E61" s="636">
        <v>30000</v>
      </c>
      <c r="F61" s="810">
        <v>40000</v>
      </c>
      <c r="G61" s="1085"/>
      <c r="H61" s="1085"/>
      <c r="I61" s="184"/>
      <c r="J61" s="654"/>
      <c r="K61" s="654"/>
      <c r="L61" s="654"/>
      <c r="N61" s="216"/>
    </row>
    <row r="62" spans="2:21" ht="12.75" customHeight="1">
      <c r="B62" s="1041"/>
      <c r="C62" s="1080" t="s">
        <v>17</v>
      </c>
      <c r="D62" s="1081"/>
      <c r="E62" s="813">
        <v>25000</v>
      </c>
      <c r="F62" s="814">
        <v>30000</v>
      </c>
      <c r="G62" s="1085"/>
      <c r="H62" s="1085"/>
      <c r="I62" s="184"/>
      <c r="J62" s="654"/>
      <c r="K62" s="654"/>
      <c r="L62" s="654"/>
      <c r="N62" s="216"/>
    </row>
    <row r="63" spans="2:21" ht="12.75" customHeight="1">
      <c r="B63" s="1041"/>
      <c r="C63" s="1080" t="s">
        <v>18</v>
      </c>
      <c r="D63" s="1081"/>
      <c r="E63" s="813">
        <v>25000</v>
      </c>
      <c r="F63" s="814">
        <v>30000</v>
      </c>
      <c r="G63" s="1085"/>
      <c r="H63" s="1085"/>
      <c r="I63" s="184"/>
      <c r="J63" s="654"/>
      <c r="K63" s="654"/>
      <c r="L63" s="654"/>
      <c r="N63" s="216"/>
    </row>
    <row r="64" spans="2:21" ht="12.75" customHeight="1">
      <c r="B64" s="1041"/>
      <c r="C64" s="1080" t="s">
        <v>19</v>
      </c>
      <c r="D64" s="1081"/>
      <c r="E64" s="813">
        <v>25000</v>
      </c>
      <c r="F64" s="814">
        <v>30000</v>
      </c>
      <c r="G64" s="1085"/>
      <c r="H64" s="1085"/>
      <c r="I64" s="184"/>
      <c r="J64" s="654"/>
      <c r="K64" s="654"/>
      <c r="L64" s="654"/>
      <c r="N64" s="216"/>
    </row>
    <row r="65" spans="2:14" ht="12.75" customHeight="1">
      <c r="B65" s="1041"/>
      <c r="C65" s="1080" t="s">
        <v>23</v>
      </c>
      <c r="D65" s="1081"/>
      <c r="E65" s="636">
        <v>25000</v>
      </c>
      <c r="F65" s="810">
        <v>30000</v>
      </c>
      <c r="G65" s="1086"/>
      <c r="H65" s="1086"/>
      <c r="I65" s="184"/>
      <c r="J65" s="654"/>
      <c r="K65" s="654"/>
      <c r="L65" s="654"/>
      <c r="N65" s="216"/>
    </row>
    <row r="66" spans="2:14" ht="12.75" customHeight="1">
      <c r="B66" s="1041"/>
      <c r="C66" s="1080" t="s">
        <v>25</v>
      </c>
      <c r="D66" s="1081"/>
      <c r="E66" s="636">
        <v>32000</v>
      </c>
      <c r="F66" s="810">
        <v>45000</v>
      </c>
      <c r="G66" s="1086"/>
      <c r="H66" s="1086"/>
      <c r="I66" s="184"/>
      <c r="J66" s="654"/>
      <c r="K66" s="654"/>
      <c r="L66" s="654"/>
      <c r="N66" s="216"/>
    </row>
    <row r="67" spans="2:14" ht="12.75" customHeight="1">
      <c r="B67" s="1041"/>
      <c r="C67" s="1080" t="s">
        <v>27</v>
      </c>
      <c r="D67" s="1081"/>
      <c r="E67" s="636">
        <v>70000</v>
      </c>
      <c r="F67" s="810">
        <v>90000</v>
      </c>
      <c r="G67" s="1086"/>
      <c r="H67" s="1086"/>
      <c r="I67" s="184"/>
      <c r="J67" s="654"/>
      <c r="K67" s="654"/>
      <c r="L67" s="654"/>
      <c r="N67" s="216"/>
    </row>
    <row r="68" spans="2:14" ht="12.75" customHeight="1">
      <c r="B68" s="1041"/>
      <c r="C68" s="1080" t="s">
        <v>29</v>
      </c>
      <c r="D68" s="1081"/>
      <c r="E68" s="636">
        <v>20000</v>
      </c>
      <c r="F68" s="810">
        <v>25000</v>
      </c>
      <c r="G68" s="1086"/>
      <c r="H68" s="1086"/>
      <c r="I68" s="184"/>
      <c r="J68" s="654"/>
      <c r="K68" s="654"/>
      <c r="L68" s="654"/>
      <c r="N68" s="216"/>
    </row>
    <row r="69" spans="2:14" ht="12.75" customHeight="1">
      <c r="B69" s="1041"/>
      <c r="C69" s="1080" t="s">
        <v>26</v>
      </c>
      <c r="D69" s="1081"/>
      <c r="E69" s="636">
        <v>40000</v>
      </c>
      <c r="F69" s="810">
        <v>45000</v>
      </c>
      <c r="G69" s="1086"/>
      <c r="H69" s="1086"/>
      <c r="I69" s="184"/>
      <c r="J69" s="654"/>
      <c r="K69" s="654"/>
      <c r="L69" s="654"/>
      <c r="N69" s="216"/>
    </row>
    <row r="70" spans="2:14" ht="12.75" customHeight="1">
      <c r="B70" s="1041"/>
      <c r="C70" s="1080" t="s">
        <v>20</v>
      </c>
      <c r="D70" s="1081"/>
      <c r="E70" s="636">
        <v>80000</v>
      </c>
      <c r="F70" s="810">
        <v>100000</v>
      </c>
      <c r="G70" s="1086"/>
      <c r="H70" s="1086"/>
      <c r="I70" s="184"/>
      <c r="J70" s="654"/>
      <c r="K70" s="654"/>
      <c r="L70" s="654"/>
      <c r="N70" s="216"/>
    </row>
    <row r="71" spans="2:14" ht="12.75" customHeight="1">
      <c r="B71" s="508"/>
      <c r="C71" s="1089" t="s">
        <v>183</v>
      </c>
      <c r="D71" s="1090"/>
      <c r="E71" s="638">
        <v>38000</v>
      </c>
      <c r="F71" s="811">
        <v>50000</v>
      </c>
      <c r="G71" s="1085"/>
      <c r="H71" s="1085"/>
      <c r="I71" s="184"/>
      <c r="J71" s="654"/>
      <c r="K71" s="654"/>
      <c r="L71" s="654"/>
      <c r="N71" s="216"/>
    </row>
    <row r="72" spans="2:14" ht="12.75" customHeight="1">
      <c r="B72" s="180"/>
      <c r="C72" s="182"/>
      <c r="D72" s="182"/>
      <c r="E72" s="181"/>
      <c r="F72" s="181"/>
      <c r="G72" s="181"/>
      <c r="H72" s="181"/>
      <c r="I72" s="184"/>
      <c r="J72" s="654"/>
      <c r="K72" s="654"/>
      <c r="L72" s="654"/>
      <c r="N72" s="216"/>
    </row>
    <row r="73" spans="2:14" ht="12.75" customHeight="1">
      <c r="C73" s="97"/>
      <c r="D73" s="97"/>
      <c r="E73" s="98"/>
      <c r="F73" s="98"/>
      <c r="G73" s="98"/>
      <c r="H73" s="98"/>
      <c r="I73" s="654"/>
      <c r="J73" s="654"/>
      <c r="K73" s="654"/>
      <c r="M73" s="216"/>
    </row>
    <row r="74" spans="2:14" ht="12.75" customHeight="1">
      <c r="C74" s="1091" t="str">
        <f>IF('Język - Language'!$B$30="Polski",CONCATENATE("SPONSORING NAGŁÓWKA SEKCJI WP SG",CHAR(10),"MIEJSCE EMISJI"),CONCATENATE("SPONSORING OF WP HP SECTION HEADING",CHAR(10),"PLACE OF EMISSION"))</f>
        <v>SPONSORING NAGŁÓWKA SEKCJI WP SG
MIEJSCE EMISJI</v>
      </c>
      <c r="D74" s="1091"/>
      <c r="E74" s="1092" t="str">
        <f>IF('Język - Language'!$B$30="Polski","MODEL EMISJI","MODEL OF EMISSION")</f>
        <v>MODEL EMISJI</v>
      </c>
      <c r="F74" s="1093" t="str">
        <f>IF('Język - Language'!$B$30="Polski","CENA RC","RC PRICE")</f>
        <v>CENA RC</v>
      </c>
      <c r="G74" s="1093"/>
      <c r="H74" s="1094"/>
      <c r="I74" s="654"/>
      <c r="J74" s="654"/>
      <c r="K74" s="654"/>
      <c r="M74" s="216"/>
    </row>
    <row r="75" spans="2:14" ht="12.75" customHeight="1">
      <c r="C75" s="1091"/>
      <c r="D75" s="1091"/>
      <c r="E75" s="1092"/>
      <c r="F75" s="662" t="str">
        <f>IF('Język - Language'!$B$30="Polski","DZIEŃ","1 DAY")</f>
        <v>DZIEŃ</v>
      </c>
      <c r="G75" s="662" t="str">
        <f>IF('Język - Language'!$B$30="Polski","TYDZIEŃ","1 WEEK")</f>
        <v>TYDZIEŃ</v>
      </c>
      <c r="H75" s="167" t="str">
        <f>IF('Język - Language'!$B$30="Polski","MIESIĄC","1 MONTH")</f>
        <v>MIESIĄC</v>
      </c>
      <c r="I75" s="654"/>
      <c r="J75" s="654"/>
      <c r="K75" s="654"/>
      <c r="M75" s="216"/>
    </row>
    <row r="76" spans="2:14" ht="12.75" customHeight="1">
      <c r="B76" s="1041" t="s">
        <v>15</v>
      </c>
      <c r="C76" s="657" t="str">
        <f>IF('Język - Language'!$B$30="Polski","Sport","Sport")</f>
        <v>Sport</v>
      </c>
      <c r="D76" s="158"/>
      <c r="E76" s="1078" t="str">
        <f>IF('Język - Language'!$B$30="Polski","Flat Fee","Flat Fee")</f>
        <v>Flat Fee</v>
      </c>
      <c r="F76" s="429">
        <v>40000</v>
      </c>
      <c r="G76" s="429">
        <v>220000</v>
      </c>
      <c r="H76" s="430">
        <v>550000</v>
      </c>
      <c r="I76" s="654"/>
      <c r="J76" s="654"/>
      <c r="K76" s="654"/>
      <c r="M76" s="216"/>
    </row>
    <row r="77" spans="2:14" ht="12.75" customHeight="1">
      <c r="B77" s="1041"/>
      <c r="C77" s="656" t="str">
        <f>IF('Język - Language'!$B$30="Polski","Biznes","Business")</f>
        <v>Biznes</v>
      </c>
      <c r="D77" s="159"/>
      <c r="E77" s="1078"/>
      <c r="F77" s="431">
        <v>35000</v>
      </c>
      <c r="G77" s="431">
        <v>190000</v>
      </c>
      <c r="H77" s="432">
        <v>475000</v>
      </c>
      <c r="I77" s="654"/>
      <c r="J77" s="654"/>
      <c r="K77" s="654"/>
      <c r="M77" s="216"/>
    </row>
    <row r="78" spans="2:14" ht="12.75" customHeight="1">
      <c r="B78" s="1041"/>
      <c r="C78" s="656" t="str">
        <f>IF('Język - Language'!$B$30="Polski","Gwiazdy","Celebrieties")</f>
        <v>Gwiazdy</v>
      </c>
      <c r="D78" s="159"/>
      <c r="E78" s="1078"/>
      <c r="F78" s="431">
        <v>30000</v>
      </c>
      <c r="G78" s="431">
        <v>165000</v>
      </c>
      <c r="H78" s="431">
        <v>410000</v>
      </c>
      <c r="I78" s="654"/>
      <c r="J78" s="654"/>
      <c r="K78" s="654"/>
      <c r="M78" s="216"/>
    </row>
    <row r="79" spans="2:14" ht="12.75" customHeight="1">
      <c r="B79" s="1041"/>
      <c r="C79" s="656" t="str">
        <f>IF('Język - Language'!$B$30="Polski","Styl Życia","Life style")</f>
        <v>Styl Życia</v>
      </c>
      <c r="D79" s="159"/>
      <c r="E79" s="1078"/>
      <c r="F79" s="431">
        <v>25000</v>
      </c>
      <c r="G79" s="431">
        <v>135000</v>
      </c>
      <c r="H79" s="431">
        <v>330000</v>
      </c>
      <c r="I79" s="654"/>
      <c r="J79" s="654"/>
      <c r="K79" s="654"/>
      <c r="M79" s="216"/>
    </row>
    <row r="80" spans="2:14" ht="12.75" customHeight="1">
      <c r="B80" s="1041"/>
      <c r="C80" s="656" t="str">
        <f>IF('Język - Language'!$B$30="Polski","Motoryzacja, Technologia, Gry","Automotive, Technology, Games")</f>
        <v>Motoryzacja, Technologia, Gry</v>
      </c>
      <c r="D80" s="159"/>
      <c r="E80" s="1078"/>
      <c r="F80" s="431">
        <v>25000</v>
      </c>
      <c r="G80" s="431">
        <v>135000</v>
      </c>
      <c r="H80" s="432">
        <v>330000</v>
      </c>
      <c r="I80" s="654"/>
      <c r="J80" s="654"/>
      <c r="K80" s="654"/>
      <c r="M80" s="216"/>
    </row>
    <row r="81" spans="2:17" ht="12.75" customHeight="1">
      <c r="B81" s="1041"/>
      <c r="C81" s="578" t="str">
        <f>IF('Język - Language'!$B$30="Polski","Turystyka","Travel")</f>
        <v>Turystyka</v>
      </c>
      <c r="D81" s="160"/>
      <c r="E81" s="1079"/>
      <c r="F81" s="433">
        <v>22000</v>
      </c>
      <c r="G81" s="434">
        <v>120000</v>
      </c>
      <c r="H81" s="434">
        <v>300000</v>
      </c>
      <c r="I81" s="654"/>
      <c r="J81" s="654"/>
      <c r="K81" s="654"/>
      <c r="M81" s="216"/>
    </row>
    <row r="82" spans="2:17" ht="12.75" customHeight="1">
      <c r="B82" s="180"/>
      <c r="C82" s="178"/>
      <c r="D82" s="178"/>
      <c r="E82" s="661"/>
      <c r="F82" s="179"/>
      <c r="G82" s="179"/>
      <c r="H82" s="179"/>
      <c r="I82" s="654"/>
      <c r="J82" s="654"/>
      <c r="K82" s="654"/>
      <c r="M82" s="216"/>
    </row>
    <row r="83" spans="2:17">
      <c r="C83" s="30"/>
      <c r="D83" s="30"/>
      <c r="E83" s="30"/>
      <c r="F83" s="30"/>
      <c r="G83" s="30"/>
      <c r="H83" s="30"/>
      <c r="I83" s="30"/>
      <c r="J83" s="30"/>
      <c r="K83" s="30"/>
      <c r="L83" s="30"/>
      <c r="M83" s="30"/>
      <c r="N83" s="30"/>
      <c r="O83" s="30"/>
      <c r="P83" s="73"/>
      <c r="Q83" s="216"/>
    </row>
    <row r="84" spans="2:17" ht="12.75" customHeight="1">
      <c r="O84" s="216"/>
    </row>
    <row r="86" spans="2:17">
      <c r="C86" s="93"/>
      <c r="D86" s="93"/>
      <c r="E86" s="93"/>
      <c r="F86" s="93"/>
      <c r="G86" s="93"/>
      <c r="H86" s="216"/>
    </row>
    <row r="88" spans="2:17" ht="12.75" customHeight="1">
      <c r="C88" s="94"/>
      <c r="D88" s="1087"/>
      <c r="E88" s="1088"/>
      <c r="F88" s="660"/>
      <c r="G88" s="93"/>
      <c r="H88" s="216"/>
    </row>
    <row r="89" spans="2:17" ht="12.75" customHeight="1">
      <c r="C89" s="94"/>
      <c r="D89" s="1087"/>
      <c r="E89" s="1088"/>
      <c r="F89" s="660"/>
      <c r="G89" s="93"/>
      <c r="H89" s="216"/>
    </row>
    <row r="90" spans="2:17" ht="12.75" customHeight="1">
      <c r="C90" s="94"/>
      <c r="D90" s="1087"/>
      <c r="E90" s="1088"/>
      <c r="F90" s="660"/>
      <c r="G90" s="93"/>
      <c r="H90" s="216"/>
    </row>
    <row r="91" spans="2:17" ht="12.75" customHeight="1">
      <c r="C91" s="94"/>
      <c r="D91" s="1087"/>
      <c r="E91" s="1088"/>
      <c r="F91" s="660"/>
      <c r="G91" s="93"/>
      <c r="H91" s="216"/>
      <c r="I91" s="655"/>
    </row>
    <row r="92" spans="2:17">
      <c r="C92" s="94"/>
      <c r="D92" s="1087"/>
      <c r="E92" s="660"/>
      <c r="F92" s="660"/>
      <c r="G92" s="93"/>
      <c r="H92" s="216"/>
      <c r="I92" s="655"/>
    </row>
    <row r="93" spans="2:17">
      <c r="I93" s="655"/>
    </row>
    <row r="94" spans="2:17">
      <c r="I94" s="655"/>
    </row>
  </sheetData>
  <mergeCells count="98">
    <mergeCell ref="G55:H55"/>
    <mergeCell ref="G56:H56"/>
    <mergeCell ref="E1:H3"/>
    <mergeCell ref="C29:D30"/>
    <mergeCell ref="C49:D49"/>
    <mergeCell ref="C42:D42"/>
    <mergeCell ref="C47:D47"/>
    <mergeCell ref="C48:D48"/>
    <mergeCell ref="C39:D40"/>
    <mergeCell ref="E39:E40"/>
    <mergeCell ref="F39:G40"/>
    <mergeCell ref="C38:D38"/>
    <mergeCell ref="C16:D16"/>
    <mergeCell ref="C10:D10"/>
    <mergeCell ref="C19:C21"/>
    <mergeCell ref="E19:E21"/>
    <mergeCell ref="G59:H59"/>
    <mergeCell ref="B57:B70"/>
    <mergeCell ref="C57:D57"/>
    <mergeCell ref="G57:H57"/>
    <mergeCell ref="C58:D58"/>
    <mergeCell ref="G58:H58"/>
    <mergeCell ref="C60:D60"/>
    <mergeCell ref="G60:H60"/>
    <mergeCell ref="C65:D65"/>
    <mergeCell ref="G65:H65"/>
    <mergeCell ref="C66:D66"/>
    <mergeCell ref="G66:H66"/>
    <mergeCell ref="C61:D61"/>
    <mergeCell ref="G61:H61"/>
    <mergeCell ref="C62:D62"/>
    <mergeCell ref="G62:H62"/>
    <mergeCell ref="D88:D92"/>
    <mergeCell ref="E88:E91"/>
    <mergeCell ref="C69:D69"/>
    <mergeCell ref="G69:H69"/>
    <mergeCell ref="C70:D70"/>
    <mergeCell ref="G70:H70"/>
    <mergeCell ref="C71:D71"/>
    <mergeCell ref="G71:H71"/>
    <mergeCell ref="C74:D75"/>
    <mergeCell ref="E74:E75"/>
    <mergeCell ref="F74:H74"/>
    <mergeCell ref="G63:H63"/>
    <mergeCell ref="G67:H67"/>
    <mergeCell ref="C68:D68"/>
    <mergeCell ref="G68:H68"/>
    <mergeCell ref="C64:D64"/>
    <mergeCell ref="G64:H64"/>
    <mergeCell ref="B9:B46"/>
    <mergeCell ref="C9:D9"/>
    <mergeCell ref="B76:B81"/>
    <mergeCell ref="E76:E81"/>
    <mergeCell ref="C7:D8"/>
    <mergeCell ref="E7:E8"/>
    <mergeCell ref="C67:D67"/>
    <mergeCell ref="C59:D59"/>
    <mergeCell ref="C55:D55"/>
    <mergeCell ref="E55:F55"/>
    <mergeCell ref="C46:D46"/>
    <mergeCell ref="C41:D41"/>
    <mergeCell ref="C28:D28"/>
    <mergeCell ref="C63:D63"/>
    <mergeCell ref="E17:E18"/>
    <mergeCell ref="F17:G17"/>
    <mergeCell ref="L16:M16"/>
    <mergeCell ref="C15:D15"/>
    <mergeCell ref="C26:D27"/>
    <mergeCell ref="E26:E27"/>
    <mergeCell ref="J7:K7"/>
    <mergeCell ref="L7:M7"/>
    <mergeCell ref="J15:K15"/>
    <mergeCell ref="L15:M15"/>
    <mergeCell ref="C12:D12"/>
    <mergeCell ref="C13:D13"/>
    <mergeCell ref="C14:D14"/>
    <mergeCell ref="F26:G26"/>
    <mergeCell ref="J16:K16"/>
    <mergeCell ref="F7:G7"/>
    <mergeCell ref="C11:D11"/>
    <mergeCell ref="C17:D18"/>
    <mergeCell ref="J46:K46"/>
    <mergeCell ref="L46:M46"/>
    <mergeCell ref="C44:D45"/>
    <mergeCell ref="E44:E45"/>
    <mergeCell ref="F44:G45"/>
    <mergeCell ref="J41:K41"/>
    <mergeCell ref="L41:M41"/>
    <mergeCell ref="C35:D36"/>
    <mergeCell ref="E35:E36"/>
    <mergeCell ref="C37:D37"/>
    <mergeCell ref="F35:G36"/>
    <mergeCell ref="C31:D32"/>
    <mergeCell ref="E31:E32"/>
    <mergeCell ref="F31:G31"/>
    <mergeCell ref="C22:D23"/>
    <mergeCell ref="E22:E23"/>
    <mergeCell ref="F22:G22"/>
  </mergeCells>
  <pageMargins left="0.7" right="0.7" top="0.75" bottom="0.75" header="0.3" footer="0.3"/>
  <pageSetup paperSize="256" scale="55" fitToHeight="0"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8">
    <pageSetUpPr fitToPage="1"/>
  </sheetPr>
  <dimension ref="A1:AG162"/>
  <sheetViews>
    <sheetView zoomScaleNormal="100" workbookViewId="0">
      <pane ySplit="4" topLeftCell="A5" activePane="bottomLeft" state="frozen"/>
      <selection pane="bottomLeft" activeCell="A6" sqref="A6"/>
    </sheetView>
  </sheetViews>
  <sheetFormatPr defaultColWidth="11.42578125" defaultRowHeight="12.75" outlineLevelRow="1"/>
  <cols>
    <col min="1" max="1" width="2.85546875" style="186" customWidth="1"/>
    <col min="2" max="2" width="2.85546875" style="2" customWidth="1"/>
    <col min="3" max="3" width="22.85546875" style="2" customWidth="1"/>
    <col min="4" max="4" width="34.28515625" style="85" customWidth="1"/>
    <col min="5" max="5" width="14.28515625" style="85" customWidth="1"/>
    <col min="6" max="6" width="11.7109375" style="2" customWidth="1"/>
    <col min="7" max="7" width="11.7109375" style="85" customWidth="1"/>
    <col min="8" max="8" width="11.7109375" style="2" customWidth="1"/>
    <col min="9" max="9" width="11.7109375" style="85" customWidth="1"/>
    <col min="10" max="10" width="11.7109375" style="2" customWidth="1"/>
    <col min="11" max="11" width="11.7109375" style="85" customWidth="1"/>
    <col min="12" max="12" width="11.7109375" style="2" customWidth="1"/>
    <col min="13" max="13" width="11.7109375" style="85" customWidth="1"/>
    <col min="14" max="16" width="11.7109375" style="2" customWidth="1"/>
    <col min="17" max="17" width="11.7109375" style="218" customWidth="1"/>
    <col min="18" max="21" width="11.7109375" style="2" customWidth="1"/>
    <col min="22" max="23" width="10.85546875" style="2" customWidth="1"/>
    <col min="24" max="24" width="10" style="2" customWidth="1"/>
    <col min="25" max="25" width="9.140625" style="2" customWidth="1"/>
    <col min="26" max="27" width="9" style="2" customWidth="1"/>
    <col min="28" max="28" width="9.140625" style="2" customWidth="1"/>
    <col min="29" max="29" width="8.5703125" style="2" customWidth="1"/>
    <col min="30" max="30" width="10.5703125" style="2" customWidth="1"/>
    <col min="31" max="33" width="7.85546875" style="2" customWidth="1"/>
    <col min="34" max="16384" width="11.42578125" style="2"/>
  </cols>
  <sheetData>
    <row r="1" spans="1:33" ht="12.75" customHeight="1">
      <c r="A1" s="218"/>
      <c r="B1" s="218"/>
      <c r="C1" s="218"/>
      <c r="D1" s="218"/>
      <c r="E1" s="218"/>
      <c r="F1" s="16"/>
      <c r="H1" s="220"/>
      <c r="J1" s="220"/>
      <c r="K1" s="220"/>
      <c r="L1" s="220"/>
      <c r="N1" s="220"/>
      <c r="O1" s="881" t="str">
        <f>IF('Język - Language'!$B$30="Polski",CONCATENATE("Cennik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P1" s="881"/>
      <c r="Q1" s="881"/>
      <c r="R1" s="881"/>
      <c r="S1" s="881"/>
      <c r="T1" s="881"/>
      <c r="U1" s="881"/>
      <c r="V1" s="220"/>
      <c r="W1" s="220"/>
      <c r="X1" s="220"/>
      <c r="Y1" s="220"/>
      <c r="Z1" s="220"/>
      <c r="AA1" s="220"/>
      <c r="AB1" s="220"/>
      <c r="AC1" s="220"/>
      <c r="AD1" s="220"/>
      <c r="AE1" s="218"/>
      <c r="AF1" s="218"/>
      <c r="AG1" s="218"/>
    </row>
    <row r="2" spans="1:33" ht="12.75" customHeight="1">
      <c r="A2" s="218"/>
      <c r="B2" s="218"/>
      <c r="C2" s="218"/>
      <c r="D2" s="218"/>
      <c r="E2" s="218"/>
      <c r="F2" s="16"/>
      <c r="G2" s="220"/>
      <c r="H2" s="220"/>
      <c r="I2" s="220"/>
      <c r="J2" s="220"/>
      <c r="K2" s="220"/>
      <c r="L2" s="220"/>
      <c r="M2" s="220"/>
      <c r="N2" s="220"/>
      <c r="O2" s="881"/>
      <c r="P2" s="881"/>
      <c r="Q2" s="881"/>
      <c r="R2" s="881"/>
      <c r="S2" s="881"/>
      <c r="T2" s="881"/>
      <c r="U2" s="881"/>
      <c r="V2" s="220"/>
      <c r="W2" s="220"/>
      <c r="X2" s="220"/>
      <c r="Y2" s="220"/>
      <c r="Z2" s="220"/>
      <c r="AA2" s="220"/>
      <c r="AB2" s="220"/>
      <c r="AC2" s="220"/>
      <c r="AD2" s="220"/>
      <c r="AE2" s="218"/>
      <c r="AF2" s="218"/>
      <c r="AG2" s="218"/>
    </row>
    <row r="3" spans="1:33" ht="12.75" customHeight="1">
      <c r="A3" s="218"/>
      <c r="B3" s="218"/>
      <c r="C3" s="218"/>
      <c r="D3" s="218"/>
      <c r="E3" s="218"/>
      <c r="F3" s="16"/>
      <c r="G3" s="220"/>
      <c r="H3" s="220"/>
      <c r="I3" s="220"/>
      <c r="J3" s="220"/>
      <c r="K3" s="220"/>
      <c r="L3" s="220"/>
      <c r="M3" s="220"/>
      <c r="N3" s="220"/>
      <c r="O3" s="881"/>
      <c r="P3" s="881"/>
      <c r="Q3" s="881"/>
      <c r="R3" s="881"/>
      <c r="S3" s="881"/>
      <c r="T3" s="881"/>
      <c r="U3" s="881"/>
      <c r="V3" s="220"/>
      <c r="W3" s="220"/>
      <c r="X3" s="220"/>
      <c r="Y3" s="220"/>
      <c r="Z3" s="220"/>
      <c r="AA3" s="220"/>
      <c r="AB3" s="220"/>
      <c r="AC3" s="220"/>
      <c r="AD3" s="220"/>
      <c r="AE3" s="218"/>
      <c r="AF3" s="218"/>
      <c r="AG3" s="218"/>
    </row>
    <row r="4" spans="1:33" s="32" customFormat="1" ht="12.75" customHeight="1">
      <c r="A4" s="221"/>
      <c r="B4" s="221"/>
      <c r="C4" s="33" t="str">
        <f>IF('Język - Language'!$B$30="Polski","            Pakiety tematyczne, zasięgowe oraz reklama na serwisie","             Packages")</f>
        <v xml:space="preserve">            Pakiety tematyczne, zasięgowe oraz reklama na serwisie</v>
      </c>
      <c r="D4" s="33"/>
      <c r="E4" s="221"/>
      <c r="F4" s="221"/>
      <c r="G4" s="221"/>
      <c r="H4" s="221"/>
      <c r="I4" s="221"/>
      <c r="J4" s="221"/>
      <c r="K4" s="221"/>
      <c r="L4" s="221"/>
      <c r="M4" s="221"/>
      <c r="N4" s="221"/>
      <c r="P4" s="221"/>
      <c r="Q4" s="221"/>
      <c r="R4" s="221"/>
      <c r="T4" s="221"/>
      <c r="U4" s="215" t="str">
        <f>IF('Język - Language'!$B$30="Polski","PL","EN")</f>
        <v>PL</v>
      </c>
      <c r="V4" s="221"/>
      <c r="W4" s="221"/>
      <c r="X4" s="221"/>
      <c r="Y4" s="221"/>
      <c r="Z4" s="221"/>
      <c r="AA4" s="221"/>
      <c r="AB4" s="221"/>
      <c r="AC4" s="221"/>
      <c r="AD4" s="221"/>
      <c r="AE4" s="221"/>
      <c r="AF4" s="221"/>
      <c r="AG4" s="221"/>
    </row>
    <row r="5" spans="1:33" ht="12.75" customHeight="1">
      <c r="A5" s="218"/>
      <c r="B5" s="218"/>
      <c r="C5" s="218"/>
      <c r="D5" s="218"/>
      <c r="E5" s="218"/>
      <c r="F5" s="218"/>
      <c r="G5" s="218"/>
      <c r="H5" s="218"/>
      <c r="I5" s="218"/>
      <c r="J5" s="218"/>
      <c r="K5" s="218"/>
      <c r="L5" s="218"/>
      <c r="M5" s="218"/>
      <c r="N5" s="218"/>
      <c r="O5" s="218"/>
      <c r="P5" s="218"/>
      <c r="R5" s="218"/>
      <c r="S5" s="218"/>
      <c r="T5" s="218"/>
      <c r="U5" s="218"/>
      <c r="V5" s="218"/>
      <c r="W5" s="218"/>
      <c r="X5" s="218"/>
      <c r="Y5" s="218"/>
      <c r="Z5" s="218"/>
      <c r="AA5" s="218"/>
      <c r="AB5" s="218"/>
      <c r="AC5" s="218"/>
      <c r="AD5" s="218"/>
      <c r="AE5" s="218"/>
      <c r="AF5" s="218"/>
      <c r="AG5" s="218"/>
    </row>
    <row r="6" spans="1:33" ht="12.75" customHeight="1">
      <c r="A6" s="218"/>
      <c r="B6" s="357"/>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row>
    <row r="7" spans="1:33" s="218" customFormat="1" ht="12.75" customHeight="1">
      <c r="B7"/>
      <c r="C7" s="163" t="str">
        <f>IF('Język - Language'!$B$30="Polski","STANDARDOWE FORMATY REKLAMOWE","STANDARD AD FORMATS")</f>
        <v>STANDARDOWE FORMATY REKLAMOWE</v>
      </c>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row>
    <row r="8" spans="1:33" ht="12.75" customHeight="1">
      <c r="A8" s="218"/>
      <c r="B8" s="216"/>
      <c r="C8" s="1151" t="str">
        <f>IF('Język - Language'!$B$30="Polski","KATEGORIE","CATEGORIES")</f>
        <v>KATEGORIE</v>
      </c>
      <c r="D8" s="1156" t="str">
        <f>IF('Język - Language'!$B$30="Polski","MIEJSCE EMISJI","PLACE OF EMISSION")</f>
        <v>MIEJSCE EMISJI</v>
      </c>
      <c r="E8" s="1157"/>
      <c r="F8" s="1152" t="s">
        <v>365</v>
      </c>
      <c r="G8" s="1153"/>
      <c r="H8" s="1153" t="s">
        <v>348</v>
      </c>
      <c r="I8" s="1153"/>
      <c r="J8" s="1153" t="s">
        <v>349</v>
      </c>
      <c r="K8" s="1167"/>
      <c r="L8" s="1166" t="s">
        <v>352</v>
      </c>
      <c r="M8" s="1167"/>
      <c r="N8" s="1163" t="s">
        <v>367</v>
      </c>
      <c r="O8" s="1169"/>
      <c r="P8" s="1163" t="s">
        <v>133</v>
      </c>
      <c r="Q8" s="1164"/>
      <c r="R8" s="922" t="s">
        <v>134</v>
      </c>
      <c r="S8" s="923"/>
      <c r="T8" s="1161" t="s">
        <v>242</v>
      </c>
      <c r="U8" s="923"/>
      <c r="V8" s="216"/>
      <c r="W8" s="216"/>
      <c r="X8" s="218"/>
      <c r="Y8" s="218"/>
      <c r="Z8" s="218"/>
      <c r="AA8" s="218"/>
      <c r="AB8" s="218"/>
      <c r="AC8" s="218"/>
      <c r="AD8" s="218"/>
      <c r="AE8" s="218"/>
      <c r="AF8" s="218"/>
      <c r="AG8" s="218"/>
    </row>
    <row r="9" spans="1:33" s="125" customFormat="1" ht="12.75" customHeight="1">
      <c r="A9" s="218"/>
      <c r="B9" s="216"/>
      <c r="C9" s="1146"/>
      <c r="D9" s="981"/>
      <c r="E9" s="1158"/>
      <c r="F9" s="1111"/>
      <c r="G9" s="1083"/>
      <c r="H9" s="1083"/>
      <c r="I9" s="1083"/>
      <c r="J9" s="1083" t="s">
        <v>350</v>
      </c>
      <c r="K9" s="1083"/>
      <c r="L9" s="1168"/>
      <c r="M9" s="1084"/>
      <c r="N9" s="1163" t="s">
        <v>357</v>
      </c>
      <c r="O9" s="1169"/>
      <c r="P9" s="1163"/>
      <c r="Q9" s="1164"/>
      <c r="R9" s="922"/>
      <c r="S9" s="923"/>
      <c r="T9" s="1161"/>
      <c r="U9" s="923"/>
      <c r="V9" s="216"/>
      <c r="W9" s="216"/>
      <c r="X9" s="218"/>
      <c r="Y9" s="218"/>
      <c r="Z9" s="218"/>
      <c r="AA9" s="218"/>
      <c r="AB9" s="218"/>
      <c r="AC9" s="218"/>
      <c r="AD9" s="218"/>
      <c r="AE9" s="218"/>
      <c r="AF9" s="218"/>
      <c r="AG9" s="218"/>
    </row>
    <row r="10" spans="1:33" s="125" customFormat="1" ht="12.75" customHeight="1">
      <c r="A10" s="218"/>
      <c r="B10" s="216"/>
      <c r="C10" s="1146"/>
      <c r="D10" s="981"/>
      <c r="E10" s="1158"/>
      <c r="F10" s="1112" t="str">
        <f>IF('Język - Language'!$B$30="Polski","RECTANGLE MOBILNY⁴","MOBILE RECTANGLE⁴")</f>
        <v>RECTANGLE MOBILNY⁴</v>
      </c>
      <c r="G10" s="1113"/>
      <c r="H10" s="1113" t="str">
        <f>IF('Język - Language'!$B$30="Polski","BANNER GÓRNY MOBILNY","MOBILE UPPER BANNER")</f>
        <v>BANNER GÓRNY MOBILNY</v>
      </c>
      <c r="I10" s="1113"/>
      <c r="J10" s="1083" t="s">
        <v>351</v>
      </c>
      <c r="K10" s="1084"/>
      <c r="L10" s="1172" t="str">
        <f>IF('Język - Language'!$B$30="Polski","BANNER SKALOWALNY XL / RECTANGLE GÓRNY MOBILNY / HALFPAGE MOBILNY","ADJUSTED BANNER XL / UPPER MOBILE RECTANGLE / MOBILE HALFPAGE")</f>
        <v>BANNER SKALOWALNY XL / RECTANGLE GÓRNY MOBILNY / HALFPAGE MOBILNY</v>
      </c>
      <c r="M10" s="1173"/>
      <c r="N10" s="1170" t="s">
        <v>355</v>
      </c>
      <c r="O10" s="1171"/>
      <c r="P10" s="372"/>
      <c r="Q10" s="372"/>
      <c r="R10" s="372"/>
      <c r="S10" s="373"/>
      <c r="T10" s="524"/>
      <c r="U10" s="525"/>
      <c r="V10" s="216"/>
      <c r="W10" s="216"/>
      <c r="X10" s="218"/>
      <c r="Y10" s="218"/>
      <c r="Z10" s="218"/>
      <c r="AA10" s="218"/>
      <c r="AB10" s="218"/>
      <c r="AC10" s="218"/>
      <c r="AD10" s="218"/>
      <c r="AE10" s="218"/>
      <c r="AF10" s="218"/>
      <c r="AG10" s="218"/>
    </row>
    <row r="11" spans="1:33" s="125" customFormat="1" ht="25.5" customHeight="1">
      <c r="A11" s="218"/>
      <c r="B11" s="216"/>
      <c r="C11" s="1146"/>
      <c r="D11" s="981"/>
      <c r="E11" s="1158"/>
      <c r="F11" s="1112"/>
      <c r="G11" s="1113"/>
      <c r="H11" s="1113"/>
      <c r="I11" s="1113"/>
      <c r="J11" s="1083"/>
      <c r="K11" s="1084"/>
      <c r="L11" s="1172"/>
      <c r="M11" s="1173"/>
      <c r="N11" s="1170"/>
      <c r="O11" s="1171"/>
      <c r="P11" s="372"/>
      <c r="Q11" s="372"/>
      <c r="R11" s="372"/>
      <c r="S11" s="373"/>
      <c r="T11" s="524"/>
      <c r="U11" s="525"/>
      <c r="V11" s="216"/>
      <c r="W11" s="216"/>
      <c r="X11" s="218"/>
      <c r="Y11" s="218"/>
      <c r="Z11" s="218"/>
      <c r="AA11" s="218"/>
      <c r="AB11" s="218"/>
      <c r="AC11" s="218"/>
      <c r="AD11" s="218"/>
      <c r="AE11" s="218"/>
      <c r="AF11" s="218"/>
      <c r="AG11" s="218"/>
    </row>
    <row r="12" spans="1:33" s="95" customFormat="1" ht="12.75" customHeight="1">
      <c r="A12" s="218"/>
      <c r="B12" s="216"/>
      <c r="C12" s="1146"/>
      <c r="D12" s="981"/>
      <c r="E12" s="1158"/>
      <c r="F12" s="1111" t="str">
        <f>IF('Język - Language'!$B$30="Polski","rozliczenie za widzialne odsłony wg standardu IAB, po statystykach wewnętrznych WPM¹","settlement for visible ad views according to the IAB standard, based on internal WPM statistics¹")</f>
        <v>rozliczenie za widzialne odsłony wg standardu IAB, po statystykach wewnętrznych WPM¹</v>
      </c>
      <c r="G12" s="1083"/>
      <c r="H12" s="1083"/>
      <c r="I12" s="1083"/>
      <c r="J12" s="1083"/>
      <c r="K12" s="1083"/>
      <c r="L12" s="1083"/>
      <c r="M12" s="1083"/>
      <c r="N12" s="1083"/>
      <c r="O12" s="1084"/>
      <c r="P12" s="1161" t="s">
        <v>126</v>
      </c>
      <c r="Q12" s="922"/>
      <c r="R12" s="922"/>
      <c r="S12" s="922"/>
      <c r="T12" s="922"/>
      <c r="U12" s="923"/>
      <c r="V12" s="216"/>
      <c r="W12" s="216"/>
      <c r="X12" s="218"/>
      <c r="Y12" s="218"/>
      <c r="Z12" s="218"/>
      <c r="AA12" s="218"/>
      <c r="AB12" s="218"/>
      <c r="AC12" s="218"/>
      <c r="AD12" s="218"/>
      <c r="AE12" s="218"/>
      <c r="AF12" s="218"/>
      <c r="AG12" s="218"/>
    </row>
    <row r="13" spans="1:33" s="218" customFormat="1" ht="12.75" customHeight="1">
      <c r="B13" s="216"/>
      <c r="C13" s="1146"/>
      <c r="D13" s="981"/>
      <c r="E13" s="1158"/>
      <c r="F13" s="1111" t="s">
        <v>65</v>
      </c>
      <c r="G13" s="1165"/>
      <c r="H13" s="1111" t="s">
        <v>65</v>
      </c>
      <c r="I13" s="1165"/>
      <c r="J13" s="1111" t="s">
        <v>65</v>
      </c>
      <c r="K13" s="1165"/>
      <c r="L13" s="1111" t="s">
        <v>65</v>
      </c>
      <c r="M13" s="1165"/>
      <c r="N13" s="1162" t="s">
        <v>65</v>
      </c>
      <c r="O13" s="1084"/>
      <c r="P13" s="1162" t="s">
        <v>65</v>
      </c>
      <c r="Q13" s="1084"/>
      <c r="R13" s="1162" t="s">
        <v>65</v>
      </c>
      <c r="S13" s="1084"/>
      <c r="T13" s="1161" t="s">
        <v>65</v>
      </c>
      <c r="U13" s="923"/>
      <c r="V13" s="216"/>
      <c r="W13" s="216"/>
    </row>
    <row r="14" spans="1:33" s="87" customFormat="1" ht="12.75" customHeight="1">
      <c r="A14" s="218"/>
      <c r="B14" s="216"/>
      <c r="C14" s="1147"/>
      <c r="D14" s="981"/>
      <c r="E14" s="1158"/>
      <c r="F14" s="330" t="s">
        <v>118</v>
      </c>
      <c r="G14" s="329" t="s">
        <v>119</v>
      </c>
      <c r="H14" s="330" t="s">
        <v>118</v>
      </c>
      <c r="I14" s="329" t="s">
        <v>119</v>
      </c>
      <c r="J14" s="330" t="s">
        <v>118</v>
      </c>
      <c r="K14" s="329" t="s">
        <v>119</v>
      </c>
      <c r="L14" s="330" t="s">
        <v>118</v>
      </c>
      <c r="M14" s="329" t="s">
        <v>119</v>
      </c>
      <c r="N14" s="330" t="s">
        <v>118</v>
      </c>
      <c r="O14" s="328" t="s">
        <v>119</v>
      </c>
      <c r="P14" s="370" t="s">
        <v>118</v>
      </c>
      <c r="Q14" s="371" t="s">
        <v>119</v>
      </c>
      <c r="R14" s="370" t="s">
        <v>118</v>
      </c>
      <c r="S14" s="371" t="s">
        <v>119</v>
      </c>
      <c r="T14" s="522" t="s">
        <v>118</v>
      </c>
      <c r="U14" s="523" t="s">
        <v>119</v>
      </c>
      <c r="V14" s="216"/>
      <c r="W14" s="216"/>
      <c r="X14" s="218"/>
      <c r="Y14" s="218"/>
      <c r="Z14" s="218"/>
      <c r="AA14" s="218"/>
      <c r="AB14" s="218"/>
      <c r="AC14" s="218"/>
      <c r="AD14" s="218"/>
      <c r="AE14" s="218"/>
      <c r="AF14" s="218"/>
      <c r="AG14" s="218"/>
    </row>
    <row r="15" spans="1:33" s="186" customFormat="1" ht="36" customHeight="1">
      <c r="A15" s="218"/>
      <c r="B15" s="1116" t="str">
        <f>IF('Język - Language'!$B$30="Polski","EMISJA ODSŁONOWA","CPM EMISSION")</f>
        <v>EMISJA ODSŁONOWA</v>
      </c>
      <c r="C15" s="217" t="str">
        <f>IF('Język - Language'!$B$30="Polski","WPM ZASIĘG","WPM REACH")</f>
        <v>WPM ZASIĘG</v>
      </c>
      <c r="D15" s="1009" t="str">
        <f>IF('Język - Language'!$B$30="Polski","WPM Zasięg (bez stron głównych o2 i WP oraz bez serwisów pocztowych)","WPM Reach (without o2 HP, WP HP and e-mail services)")</f>
        <v>WPM Zasięg (bez stron głównych o2 i WP oraz bez serwisów pocztowych)</v>
      </c>
      <c r="E15" s="1010"/>
      <c r="F15" s="310">
        <v>30</v>
      </c>
      <c r="G15" s="331">
        <v>36</v>
      </c>
      <c r="H15" s="319">
        <v>45</v>
      </c>
      <c r="I15" s="342">
        <v>55</v>
      </c>
      <c r="J15" s="852">
        <v>55</v>
      </c>
      <c r="K15" s="342">
        <v>70</v>
      </c>
      <c r="L15" s="620">
        <v>70</v>
      </c>
      <c r="M15" s="848">
        <v>85</v>
      </c>
      <c r="N15" s="620" t="s">
        <v>35</v>
      </c>
      <c r="O15" s="848" t="s">
        <v>35</v>
      </c>
      <c r="P15" s="375">
        <v>21</v>
      </c>
      <c r="Q15" s="388" t="s">
        <v>35</v>
      </c>
      <c r="R15" s="375">
        <v>27</v>
      </c>
      <c r="S15" s="396" t="s">
        <v>35</v>
      </c>
      <c r="T15" s="375">
        <v>75</v>
      </c>
      <c r="U15" s="526">
        <v>90</v>
      </c>
      <c r="V15" s="216"/>
      <c r="W15" s="216"/>
      <c r="X15" s="218"/>
      <c r="Y15" s="218"/>
      <c r="Z15" s="218"/>
      <c r="AA15" s="218"/>
      <c r="AB15" s="218"/>
      <c r="AC15" s="218"/>
      <c r="AD15" s="218"/>
      <c r="AE15" s="218"/>
      <c r="AF15" s="218"/>
      <c r="AG15" s="218"/>
    </row>
    <row r="16" spans="1:33" s="724" customFormat="1" ht="36" customHeight="1">
      <c r="B16" s="1116"/>
      <c r="C16" s="217" t="s">
        <v>363</v>
      </c>
      <c r="D16" s="1154" t="s">
        <v>364</v>
      </c>
      <c r="E16" s="1155"/>
      <c r="F16" s="851">
        <v>45</v>
      </c>
      <c r="G16" s="332">
        <v>55</v>
      </c>
      <c r="H16" s="851">
        <v>70</v>
      </c>
      <c r="I16" s="332">
        <v>85</v>
      </c>
      <c r="J16" s="851">
        <v>90</v>
      </c>
      <c r="K16" s="332">
        <v>120</v>
      </c>
      <c r="L16" s="620">
        <v>105</v>
      </c>
      <c r="M16" s="848">
        <v>125</v>
      </c>
      <c r="N16" s="620" t="s">
        <v>35</v>
      </c>
      <c r="O16" s="848" t="s">
        <v>35</v>
      </c>
      <c r="P16" s="374" t="s">
        <v>35</v>
      </c>
      <c r="Q16" s="388" t="s">
        <v>35</v>
      </c>
      <c r="R16" s="856" t="s">
        <v>35</v>
      </c>
      <c r="S16" s="396" t="s">
        <v>35</v>
      </c>
      <c r="T16" s="856" t="s">
        <v>35</v>
      </c>
      <c r="U16" s="526" t="s">
        <v>35</v>
      </c>
      <c r="V16" s="725"/>
      <c r="W16" s="725"/>
    </row>
    <row r="17" spans="1:33" s="186" customFormat="1" ht="36" customHeight="1">
      <c r="A17" s="218"/>
      <c r="B17" s="1116"/>
      <c r="C17" s="217" t="s">
        <v>37</v>
      </c>
      <c r="D17" s="1154" t="str">
        <f>IF('Język - Language'!$B$30="Polski","WP SG, o2 SG","WP HP, o2 HP")</f>
        <v>WP SG, o2 SG</v>
      </c>
      <c r="E17" s="1155"/>
      <c r="F17" s="520" t="s">
        <v>35</v>
      </c>
      <c r="G17" s="521" t="s">
        <v>35</v>
      </c>
      <c r="H17" s="309">
        <v>80</v>
      </c>
      <c r="I17" s="332">
        <v>96</v>
      </c>
      <c r="J17" s="309">
        <v>105</v>
      </c>
      <c r="K17" s="332">
        <v>126</v>
      </c>
      <c r="L17" s="314">
        <v>120</v>
      </c>
      <c r="M17" s="334">
        <v>145</v>
      </c>
      <c r="N17" s="322" t="s">
        <v>35</v>
      </c>
      <c r="O17" s="323" t="s">
        <v>35</v>
      </c>
      <c r="P17" s="382" t="s">
        <v>35</v>
      </c>
      <c r="Q17" s="388" t="s">
        <v>35</v>
      </c>
      <c r="R17" s="383" t="s">
        <v>35</v>
      </c>
      <c r="S17" s="396" t="s">
        <v>35</v>
      </c>
      <c r="T17" s="383" t="s">
        <v>35</v>
      </c>
      <c r="U17" s="396" t="s">
        <v>35</v>
      </c>
      <c r="V17" s="216"/>
      <c r="W17" s="216"/>
      <c r="X17" s="218"/>
      <c r="Y17" s="218"/>
      <c r="Z17" s="218"/>
      <c r="AA17" s="218"/>
      <c r="AB17" s="218"/>
      <c r="AC17" s="218"/>
      <c r="AD17" s="218"/>
      <c r="AE17" s="218"/>
      <c r="AF17" s="218"/>
      <c r="AG17" s="218"/>
    </row>
    <row r="18" spans="1:33" s="218" customFormat="1" ht="36" customHeight="1">
      <c r="B18" s="1116"/>
      <c r="C18" s="217" t="s">
        <v>271</v>
      </c>
      <c r="D18" s="1154" t="s">
        <v>272</v>
      </c>
      <c r="E18" s="1155"/>
      <c r="F18" s="663">
        <v>35</v>
      </c>
      <c r="G18" s="664">
        <v>42</v>
      </c>
      <c r="H18" s="663">
        <v>40</v>
      </c>
      <c r="I18" s="664">
        <v>48</v>
      </c>
      <c r="J18" s="663">
        <v>50</v>
      </c>
      <c r="K18" s="664">
        <v>60</v>
      </c>
      <c r="L18" s="665" t="s">
        <v>35</v>
      </c>
      <c r="M18" s="666" t="s">
        <v>35</v>
      </c>
      <c r="N18" s="667" t="s">
        <v>35</v>
      </c>
      <c r="O18" s="668" t="s">
        <v>35</v>
      </c>
      <c r="P18" s="669" t="s">
        <v>35</v>
      </c>
      <c r="Q18" s="391" t="s">
        <v>35</v>
      </c>
      <c r="R18" s="829" t="s">
        <v>35</v>
      </c>
      <c r="S18" s="407" t="s">
        <v>35</v>
      </c>
      <c r="T18" s="830" t="s">
        <v>35</v>
      </c>
      <c r="U18" s="407" t="s">
        <v>35</v>
      </c>
      <c r="V18" s="216"/>
      <c r="W18" s="216"/>
    </row>
    <row r="19" spans="1:33" s="186" customFormat="1" ht="12.75" customHeight="1" outlineLevel="1">
      <c r="A19" s="218"/>
      <c r="B19" s="1116"/>
      <c r="C19" s="1146" t="str">
        <f>IF('Język - Language'!$B$30="Polski","BIZNES","BUSINESS")</f>
        <v>BIZNES</v>
      </c>
      <c r="D19" s="288" t="s">
        <v>24</v>
      </c>
      <c r="E19" s="289"/>
      <c r="F19" s="311">
        <f>ROUND(F22*(1+0.3),-1)</f>
        <v>120</v>
      </c>
      <c r="G19" s="336">
        <v>144</v>
      </c>
      <c r="H19" s="311">
        <f>ROUND(H22*(1+0.3),-1)</f>
        <v>180</v>
      </c>
      <c r="I19" s="336">
        <v>216</v>
      </c>
      <c r="J19" s="311">
        <f>ROUND(J22*(1+0.3),-1)</f>
        <v>230</v>
      </c>
      <c r="K19" s="336">
        <v>276</v>
      </c>
      <c r="L19" s="311">
        <v>270</v>
      </c>
      <c r="M19" s="336">
        <v>324</v>
      </c>
      <c r="N19" s="311">
        <f>ROUND(N22*(1+0.3),-1)</f>
        <v>310</v>
      </c>
      <c r="O19" s="353">
        <v>372</v>
      </c>
      <c r="P19" s="350">
        <f>ROUND(P22*(1+0.3),-1)</f>
        <v>90</v>
      </c>
      <c r="Q19" s="392" t="s">
        <v>35</v>
      </c>
      <c r="R19" s="385">
        <f>ROUND(R22*(1+0.3),-1)</f>
        <v>120</v>
      </c>
      <c r="S19" s="400" t="s">
        <v>35</v>
      </c>
      <c r="T19" s="385" t="s">
        <v>35</v>
      </c>
      <c r="U19" s="400" t="s">
        <v>35</v>
      </c>
      <c r="V19" s="216"/>
      <c r="W19" s="216"/>
      <c r="X19" s="218"/>
      <c r="Y19" s="218"/>
      <c r="Z19" s="218"/>
      <c r="AA19" s="218"/>
      <c r="AB19" s="218"/>
      <c r="AC19" s="218"/>
      <c r="AD19" s="218"/>
      <c r="AE19" s="218"/>
      <c r="AF19" s="218"/>
      <c r="AG19" s="218"/>
    </row>
    <row r="20" spans="1:33" s="218" customFormat="1" ht="12.75" customHeight="1" outlineLevel="1">
      <c r="B20" s="1116"/>
      <c r="C20" s="1146"/>
      <c r="D20" s="292" t="s">
        <v>196</v>
      </c>
      <c r="E20" s="293"/>
      <c r="F20" s="351">
        <f>ROUND(F61*(1+0.3),-1)</f>
        <v>60</v>
      </c>
      <c r="G20" s="355">
        <v>72</v>
      </c>
      <c r="H20" s="351">
        <f>ROUND(H61*(1+0.3),-1)</f>
        <v>90</v>
      </c>
      <c r="I20" s="355">
        <v>108</v>
      </c>
      <c r="J20" s="351">
        <f>ROUND(J61*(1+0.3),-1)</f>
        <v>120</v>
      </c>
      <c r="K20" s="355">
        <v>144</v>
      </c>
      <c r="L20" s="351">
        <v>140</v>
      </c>
      <c r="M20" s="355">
        <v>168</v>
      </c>
      <c r="N20" s="351">
        <f>ROUND(N61*(1+0.3),-1)</f>
        <v>160</v>
      </c>
      <c r="O20" s="355">
        <v>192</v>
      </c>
      <c r="P20" s="351">
        <f>ROUND(P61*(1+0.3),-1)</f>
        <v>40</v>
      </c>
      <c r="Q20" s="393" t="s">
        <v>35</v>
      </c>
      <c r="R20" s="386">
        <f>ROUND(R61*(1+0.3),-1)</f>
        <v>60</v>
      </c>
      <c r="S20" s="401" t="s">
        <v>35</v>
      </c>
      <c r="T20" s="386" t="s">
        <v>35</v>
      </c>
      <c r="U20" s="401" t="s">
        <v>35</v>
      </c>
      <c r="V20" s="216"/>
      <c r="W20" s="216"/>
    </row>
    <row r="21" spans="1:33" s="218" customFormat="1" ht="12.75" customHeight="1" outlineLevel="1">
      <c r="B21" s="1116"/>
      <c r="C21" s="1146"/>
      <c r="D21" s="527" t="s">
        <v>90</v>
      </c>
      <c r="E21" s="528"/>
      <c r="F21" s="352">
        <f>ROUND(F22*(1+0.3),-1)</f>
        <v>120</v>
      </c>
      <c r="G21" s="354">
        <v>144</v>
      </c>
      <c r="H21" s="352">
        <f>ROUND(H22*(1+0.3),-1)</f>
        <v>180</v>
      </c>
      <c r="I21" s="354">
        <v>216</v>
      </c>
      <c r="J21" s="352">
        <f>ROUND(J22*(1+0.3),-1)</f>
        <v>230</v>
      </c>
      <c r="K21" s="354">
        <v>276</v>
      </c>
      <c r="L21" s="352">
        <v>270</v>
      </c>
      <c r="M21" s="354">
        <v>324</v>
      </c>
      <c r="N21" s="352">
        <f>ROUND(N22*(1+0.3),-1)</f>
        <v>310</v>
      </c>
      <c r="O21" s="354">
        <v>372</v>
      </c>
      <c r="P21" s="352">
        <f>ROUND(P22*(1+0.3),-1)</f>
        <v>90</v>
      </c>
      <c r="Q21" s="390" t="s">
        <v>35</v>
      </c>
      <c r="R21" s="387">
        <f>ROUND(R22*(1+0.3),-1)</f>
        <v>120</v>
      </c>
      <c r="S21" s="398" t="s">
        <v>35</v>
      </c>
      <c r="T21" s="387" t="s">
        <v>35</v>
      </c>
      <c r="U21" s="398" t="s">
        <v>35</v>
      </c>
      <c r="V21" s="216"/>
      <c r="W21" s="216"/>
    </row>
    <row r="22" spans="1:33" s="218" customFormat="1" ht="36" customHeight="1">
      <c r="B22" s="1116"/>
      <c r="C22" s="1147"/>
      <c r="D22" s="1009" t="str">
        <f>D19&amp;", "&amp;D20&amp;" , "&amp;D21</f>
        <v>WP Finanse, Praca.money.pl , Portal Money.pl</v>
      </c>
      <c r="E22" s="1010"/>
      <c r="F22" s="827">
        <v>90</v>
      </c>
      <c r="G22" s="332">
        <v>108</v>
      </c>
      <c r="H22" s="827">
        <v>135</v>
      </c>
      <c r="I22" s="332">
        <v>162</v>
      </c>
      <c r="J22" s="827">
        <v>180</v>
      </c>
      <c r="K22" s="332">
        <v>216</v>
      </c>
      <c r="L22" s="314">
        <v>200</v>
      </c>
      <c r="M22" s="333">
        <v>240</v>
      </c>
      <c r="N22" s="314">
        <v>235</v>
      </c>
      <c r="O22" s="333">
        <v>282</v>
      </c>
      <c r="P22" s="378">
        <v>68</v>
      </c>
      <c r="Q22" s="395" t="s">
        <v>35</v>
      </c>
      <c r="R22" s="374">
        <v>90</v>
      </c>
      <c r="S22" s="399" t="s">
        <v>35</v>
      </c>
      <c r="T22" s="374" t="s">
        <v>35</v>
      </c>
      <c r="U22" s="399" t="s">
        <v>35</v>
      </c>
      <c r="V22" s="216"/>
      <c r="W22" s="216"/>
    </row>
    <row r="23" spans="1:33" s="186" customFormat="1" ht="12.75" customHeight="1" outlineLevel="1">
      <c r="A23" s="218"/>
      <c r="B23" s="1116"/>
      <c r="C23" s="1150" t="str">
        <f>IF('Język - Language'!$B$30="Polski","INFO I SPORT","INFO AND SPORT")</f>
        <v>INFO I SPORT</v>
      </c>
      <c r="D23" s="288" t="s">
        <v>22</v>
      </c>
      <c r="E23" s="289"/>
      <c r="F23" s="313">
        <f>ROUND(F29*(1+0.3),-1)</f>
        <v>70</v>
      </c>
      <c r="G23" s="338">
        <v>84</v>
      </c>
      <c r="H23" s="313">
        <f>ROUND(H29*(1+0.3),-1)</f>
        <v>100</v>
      </c>
      <c r="I23" s="338">
        <v>120</v>
      </c>
      <c r="J23" s="313">
        <f>ROUND(J29*(1+0.3),-1)</f>
        <v>140</v>
      </c>
      <c r="K23" s="338">
        <v>168</v>
      </c>
      <c r="L23" s="313">
        <v>160</v>
      </c>
      <c r="M23" s="338">
        <v>192</v>
      </c>
      <c r="N23" s="313">
        <f>ROUND(N29*(1+0.3),-1)</f>
        <v>190</v>
      </c>
      <c r="O23" s="338">
        <v>228</v>
      </c>
      <c r="P23" s="350">
        <f>ROUND(P29*(1+0.3),-1)</f>
        <v>50</v>
      </c>
      <c r="Q23" s="392" t="s">
        <v>35</v>
      </c>
      <c r="R23" s="385">
        <f>ROUND(R29*(1+0.3),-1)</f>
        <v>70</v>
      </c>
      <c r="S23" s="400" t="s">
        <v>35</v>
      </c>
      <c r="T23" s="385" t="s">
        <v>35</v>
      </c>
      <c r="U23" s="400" t="s">
        <v>35</v>
      </c>
      <c r="V23" s="216"/>
      <c r="W23" s="216"/>
      <c r="X23" s="218"/>
      <c r="Y23" s="218"/>
      <c r="Z23" s="218"/>
      <c r="AA23" s="218"/>
      <c r="AB23" s="218"/>
      <c r="AC23" s="218"/>
      <c r="AD23" s="218"/>
      <c r="AE23" s="218"/>
      <c r="AF23" s="218"/>
      <c r="AG23" s="218"/>
    </row>
    <row r="24" spans="1:33" s="218" customFormat="1" ht="12.75" customHeight="1" outlineLevel="1">
      <c r="B24" s="1116"/>
      <c r="C24" s="1146"/>
      <c r="D24" s="292" t="s">
        <v>64</v>
      </c>
      <c r="E24" s="293"/>
      <c r="F24" s="315">
        <f>ROUND(F29*(1+0.3),-1)</f>
        <v>70</v>
      </c>
      <c r="G24" s="339">
        <v>84</v>
      </c>
      <c r="H24" s="315">
        <f>ROUND(H29*(1+0.3),-1)</f>
        <v>100</v>
      </c>
      <c r="I24" s="339">
        <v>120</v>
      </c>
      <c r="J24" s="315">
        <f>ROUND(J29*(1+0.3),-1)</f>
        <v>140</v>
      </c>
      <c r="K24" s="339">
        <v>168</v>
      </c>
      <c r="L24" s="315">
        <v>160</v>
      </c>
      <c r="M24" s="339">
        <v>192</v>
      </c>
      <c r="N24" s="315">
        <f>ROUND(N29*(1+0.3),-1)</f>
        <v>190</v>
      </c>
      <c r="O24" s="339">
        <v>228</v>
      </c>
      <c r="P24" s="351">
        <f>ROUND(P29*(1+0.3),-1)</f>
        <v>50</v>
      </c>
      <c r="Q24" s="393" t="s">
        <v>35</v>
      </c>
      <c r="R24" s="386">
        <f>ROUND(R29*(1+0.3),-1)</f>
        <v>70</v>
      </c>
      <c r="S24" s="401" t="s">
        <v>35</v>
      </c>
      <c r="T24" s="386" t="s">
        <v>35</v>
      </c>
      <c r="U24" s="401" t="s">
        <v>35</v>
      </c>
      <c r="V24" s="216"/>
      <c r="W24" s="216"/>
    </row>
    <row r="25" spans="1:33" s="218" customFormat="1" ht="12.75" customHeight="1" outlineLevel="1">
      <c r="B25" s="1116"/>
      <c r="C25" s="1146"/>
      <c r="D25" s="292" t="s">
        <v>91</v>
      </c>
      <c r="E25" s="293"/>
      <c r="F25" s="315">
        <f>ROUND(F29*(1+0.3),-1)</f>
        <v>70</v>
      </c>
      <c r="G25" s="339">
        <v>84</v>
      </c>
      <c r="H25" s="315">
        <f>ROUND(H29*(1+0.3),-1)</f>
        <v>100</v>
      </c>
      <c r="I25" s="339">
        <v>120</v>
      </c>
      <c r="J25" s="315">
        <f>ROUND(J29*(1+0.3),-1)</f>
        <v>140</v>
      </c>
      <c r="K25" s="339">
        <v>168</v>
      </c>
      <c r="L25" s="315">
        <v>160</v>
      </c>
      <c r="M25" s="339">
        <v>192</v>
      </c>
      <c r="N25" s="315">
        <f>ROUND(N29*(1+0.3),-1)</f>
        <v>190</v>
      </c>
      <c r="O25" s="339">
        <v>228</v>
      </c>
      <c r="P25" s="351">
        <f>ROUND(P29*(1+0.3),-1)</f>
        <v>50</v>
      </c>
      <c r="Q25" s="393" t="s">
        <v>35</v>
      </c>
      <c r="R25" s="386">
        <f>ROUND(R29*(1+0.3),-1)</f>
        <v>70</v>
      </c>
      <c r="S25" s="401" t="s">
        <v>35</v>
      </c>
      <c r="T25" s="386" t="s">
        <v>35</v>
      </c>
      <c r="U25" s="401" t="s">
        <v>35</v>
      </c>
      <c r="V25" s="216"/>
      <c r="W25" s="216"/>
    </row>
    <row r="26" spans="1:33" s="218" customFormat="1" ht="12.75" customHeight="1" outlineLevel="1">
      <c r="B26" s="1116"/>
      <c r="C26" s="1146"/>
      <c r="D26" s="292" t="s">
        <v>13</v>
      </c>
      <c r="E26" s="293"/>
      <c r="F26" s="315">
        <f>ROUND(F29*(1+0.3),-1)</f>
        <v>70</v>
      </c>
      <c r="G26" s="339">
        <v>84</v>
      </c>
      <c r="H26" s="315">
        <f>ROUND(H29*(1+0.3),-1)</f>
        <v>100</v>
      </c>
      <c r="I26" s="339">
        <v>120</v>
      </c>
      <c r="J26" s="315">
        <f>ROUND(J29*(1+0.3),-1)</f>
        <v>140</v>
      </c>
      <c r="K26" s="339">
        <v>168</v>
      </c>
      <c r="L26" s="315">
        <v>160</v>
      </c>
      <c r="M26" s="339">
        <v>192</v>
      </c>
      <c r="N26" s="315">
        <f>ROUND(N29*(1+0.3),-1)</f>
        <v>190</v>
      </c>
      <c r="O26" s="339">
        <v>228</v>
      </c>
      <c r="P26" s="351">
        <f>ROUND(P29*(1+0.3),-1)</f>
        <v>50</v>
      </c>
      <c r="Q26" s="393" t="s">
        <v>35</v>
      </c>
      <c r="R26" s="386">
        <f>ROUND(R29*(1+0.3),-1)</f>
        <v>70</v>
      </c>
      <c r="S26" s="401" t="s">
        <v>35</v>
      </c>
      <c r="T26" s="386" t="s">
        <v>35</v>
      </c>
      <c r="U26" s="401" t="s">
        <v>35</v>
      </c>
      <c r="V26" s="216"/>
      <c r="W26" s="216"/>
    </row>
    <row r="27" spans="1:33" s="218" customFormat="1" ht="12.75" customHeight="1" outlineLevel="1">
      <c r="B27" s="1116"/>
      <c r="C27" s="1146"/>
      <c r="D27" s="292" t="s">
        <v>181</v>
      </c>
      <c r="E27" s="293"/>
      <c r="F27" s="503">
        <f>ROUND(F29*(1+0.3),-1)</f>
        <v>70</v>
      </c>
      <c r="G27" s="504">
        <v>84</v>
      </c>
      <c r="H27" s="503">
        <f>ROUND(H29*(1+0.3),-1)</f>
        <v>100</v>
      </c>
      <c r="I27" s="504">
        <v>120</v>
      </c>
      <c r="J27" s="503">
        <f>ROUND(J29*(1+0.3),-1)</f>
        <v>140</v>
      </c>
      <c r="K27" s="504">
        <v>168</v>
      </c>
      <c r="L27" s="503">
        <v>160</v>
      </c>
      <c r="M27" s="504">
        <v>192</v>
      </c>
      <c r="N27" s="503">
        <f>ROUND(N29*(1+0.3),-1)</f>
        <v>190</v>
      </c>
      <c r="O27" s="504">
        <v>228</v>
      </c>
      <c r="P27" s="351">
        <f>ROUND(P29*(1+0.3),-1)</f>
        <v>50</v>
      </c>
      <c r="Q27" s="393" t="s">
        <v>35</v>
      </c>
      <c r="R27" s="386">
        <f>ROUND(R29*(1+0.3),-1)</f>
        <v>70</v>
      </c>
      <c r="S27" s="401" t="s">
        <v>35</v>
      </c>
      <c r="T27" s="386" t="s">
        <v>35</v>
      </c>
      <c r="U27" s="401" t="s">
        <v>35</v>
      </c>
      <c r="V27" s="216"/>
      <c r="W27" s="216"/>
    </row>
    <row r="28" spans="1:33" s="218" customFormat="1" ht="12.75" customHeight="1" outlineLevel="1">
      <c r="B28" s="1116"/>
      <c r="C28" s="1146"/>
      <c r="D28" s="292" t="s">
        <v>92</v>
      </c>
      <c r="E28" s="293"/>
      <c r="F28" s="317">
        <f>ROUND(F29*(1+0.3),-1)</f>
        <v>70</v>
      </c>
      <c r="G28" s="340">
        <v>84</v>
      </c>
      <c r="H28" s="317">
        <f>ROUND(H29*(1+0.3),-1)</f>
        <v>100</v>
      </c>
      <c r="I28" s="340">
        <v>120</v>
      </c>
      <c r="J28" s="317">
        <f>ROUND(J29*(1+0.3),-1)</f>
        <v>140</v>
      </c>
      <c r="K28" s="340">
        <v>168</v>
      </c>
      <c r="L28" s="317">
        <v>160</v>
      </c>
      <c r="M28" s="340">
        <v>192</v>
      </c>
      <c r="N28" s="317">
        <f>ROUND(N29*(1+0.3),-1)</f>
        <v>190</v>
      </c>
      <c r="O28" s="340">
        <v>228</v>
      </c>
      <c r="P28" s="384">
        <f>ROUND(P29*(1+0.3),-1)</f>
        <v>50</v>
      </c>
      <c r="Q28" s="394" t="s">
        <v>35</v>
      </c>
      <c r="R28" s="343">
        <f>ROUND(R29*(1+0.3),-1)</f>
        <v>70</v>
      </c>
      <c r="S28" s="402" t="s">
        <v>35</v>
      </c>
      <c r="T28" s="343" t="s">
        <v>35</v>
      </c>
      <c r="U28" s="402" t="s">
        <v>35</v>
      </c>
      <c r="V28" s="216"/>
      <c r="W28" s="216"/>
    </row>
    <row r="29" spans="1:33" s="218" customFormat="1" ht="36" customHeight="1">
      <c r="B29" s="1116"/>
      <c r="C29" s="1147"/>
      <c r="D29" s="1154" t="str">
        <f>D23&amp;", "&amp;D24&amp;", "&amp;D25&amp;", "&amp;D26&amp;", "&amp;D27&amp;", "&amp;D28</f>
        <v>WP Wiadomości, WP Opinie, WP Pogoda, WP SportoweFakty, WP Wroclaw, Wawalove</v>
      </c>
      <c r="E29" s="1155"/>
      <c r="F29" s="320">
        <v>55</v>
      </c>
      <c r="G29" s="334">
        <v>65</v>
      </c>
      <c r="H29" s="320">
        <v>80</v>
      </c>
      <c r="I29" s="334">
        <v>96</v>
      </c>
      <c r="J29" s="320">
        <v>105</v>
      </c>
      <c r="K29" s="334">
        <v>126</v>
      </c>
      <c r="L29" s="314">
        <v>120</v>
      </c>
      <c r="M29" s="334">
        <v>145</v>
      </c>
      <c r="N29" s="314">
        <v>145</v>
      </c>
      <c r="O29" s="334">
        <v>175</v>
      </c>
      <c r="P29" s="376">
        <v>40</v>
      </c>
      <c r="Q29" s="388" t="s">
        <v>35</v>
      </c>
      <c r="R29" s="378">
        <v>55</v>
      </c>
      <c r="S29" s="407" t="s">
        <v>35</v>
      </c>
      <c r="T29" s="378" t="s">
        <v>35</v>
      </c>
      <c r="U29" s="407" t="s">
        <v>35</v>
      </c>
      <c r="V29" s="216"/>
      <c r="W29" s="216"/>
    </row>
    <row r="30" spans="1:33" s="218" customFormat="1" ht="12.75" hidden="1" customHeight="1" outlineLevel="1">
      <c r="B30" s="1116"/>
      <c r="C30" s="1148" t="str">
        <f>IF('Język - Language'!$B$30="Polski","MOTORYZACJA","AUTOMOTIVE")</f>
        <v>MOTORYZACJA</v>
      </c>
      <c r="D30" s="288" t="s">
        <v>16</v>
      </c>
      <c r="E30" s="289"/>
      <c r="F30" s="313">
        <f>ROUND(F33*(1+0.3),-1)</f>
        <v>60</v>
      </c>
      <c r="G30" s="338">
        <v>72</v>
      </c>
      <c r="H30" s="313">
        <f>ROUND(H33*(1+0.3),-1)</f>
        <v>90</v>
      </c>
      <c r="I30" s="338">
        <v>108</v>
      </c>
      <c r="J30" s="313">
        <f>ROUND(J33*(1+0.3),-1)</f>
        <v>120</v>
      </c>
      <c r="K30" s="338">
        <v>144</v>
      </c>
      <c r="L30" s="313">
        <v>140</v>
      </c>
      <c r="M30" s="338">
        <v>168</v>
      </c>
      <c r="N30" s="313">
        <f>ROUND(N33*(1+0.3),-1)</f>
        <v>160</v>
      </c>
      <c r="O30" s="338">
        <v>192</v>
      </c>
      <c r="P30" s="350">
        <f>ROUND(P33*(1+0.3),-1)</f>
        <v>40</v>
      </c>
      <c r="Q30" s="392" t="s">
        <v>35</v>
      </c>
      <c r="R30" s="385">
        <f>ROUND(R33*(1+0.3),-1)</f>
        <v>60</v>
      </c>
      <c r="S30" s="400" t="s">
        <v>35</v>
      </c>
      <c r="T30" s="385" t="s">
        <v>35</v>
      </c>
      <c r="U30" s="400" t="s">
        <v>35</v>
      </c>
      <c r="V30" s="216"/>
      <c r="W30" s="216"/>
    </row>
    <row r="31" spans="1:33" s="218" customFormat="1" ht="12.75" hidden="1" customHeight="1" outlineLevel="1">
      <c r="B31" s="1116"/>
      <c r="C31" s="1082"/>
      <c r="D31" s="292" t="s">
        <v>23</v>
      </c>
      <c r="E31" s="293"/>
      <c r="F31" s="362">
        <f>ROUND(F33*(1+0.3),-1)</f>
        <v>60</v>
      </c>
      <c r="G31" s="365">
        <v>72</v>
      </c>
      <c r="H31" s="362">
        <f>ROUND(H33*(1+0.3),-1)</f>
        <v>90</v>
      </c>
      <c r="I31" s="365">
        <v>108</v>
      </c>
      <c r="J31" s="362">
        <f>ROUND(J33*(1+0.3),-1)</f>
        <v>120</v>
      </c>
      <c r="K31" s="365">
        <v>144</v>
      </c>
      <c r="L31" s="362">
        <v>140</v>
      </c>
      <c r="M31" s="365">
        <v>168</v>
      </c>
      <c r="N31" s="362">
        <f>ROUND(N33*(1+0.3),-1)</f>
        <v>160</v>
      </c>
      <c r="O31" s="365">
        <v>192</v>
      </c>
      <c r="P31" s="351">
        <f>ROUND(P33*(1+0.3),-1)</f>
        <v>40</v>
      </c>
      <c r="Q31" s="393" t="s">
        <v>35</v>
      </c>
      <c r="R31" s="386">
        <f>ROUND(R33*(1+0.3),-1)</f>
        <v>60</v>
      </c>
      <c r="S31" s="401" t="s">
        <v>35</v>
      </c>
      <c r="T31" s="386" t="s">
        <v>35</v>
      </c>
      <c r="U31" s="401" t="s">
        <v>35</v>
      </c>
      <c r="V31" s="216"/>
      <c r="W31" s="216"/>
    </row>
    <row r="32" spans="1:33" s="218" customFormat="1" ht="12.75" hidden="1" customHeight="1" outlineLevel="1">
      <c r="B32" s="1116"/>
      <c r="C32" s="1082"/>
      <c r="D32" s="290" t="s">
        <v>183</v>
      </c>
      <c r="E32" s="291"/>
      <c r="F32" s="505">
        <f>ROUND(F33*(1+0.3),-1)</f>
        <v>60</v>
      </c>
      <c r="G32" s="506">
        <v>72</v>
      </c>
      <c r="H32" s="505">
        <f>ROUND(H33*(1+0.3),-1)</f>
        <v>90</v>
      </c>
      <c r="I32" s="506">
        <v>108</v>
      </c>
      <c r="J32" s="505">
        <f>ROUND(J33*(1+0.3),-1)</f>
        <v>120</v>
      </c>
      <c r="K32" s="506">
        <v>144</v>
      </c>
      <c r="L32" s="505">
        <v>140</v>
      </c>
      <c r="M32" s="506">
        <v>168</v>
      </c>
      <c r="N32" s="505">
        <f>ROUND(N33*(1+0.3),-1)</f>
        <v>160</v>
      </c>
      <c r="O32" s="506">
        <v>192</v>
      </c>
      <c r="P32" s="384">
        <f>ROUND(P33*(1+0.3),-1)</f>
        <v>40</v>
      </c>
      <c r="Q32" s="394" t="s">
        <v>35</v>
      </c>
      <c r="R32" s="343">
        <f>ROUND(R33*(1+0.3),-1)</f>
        <v>60</v>
      </c>
      <c r="S32" s="402" t="s">
        <v>35</v>
      </c>
      <c r="T32" s="343" t="s">
        <v>35</v>
      </c>
      <c r="U32" s="402" t="s">
        <v>35</v>
      </c>
      <c r="V32" s="216"/>
      <c r="W32" s="216"/>
    </row>
    <row r="33" spans="1:33" ht="36" customHeight="1" collapsed="1">
      <c r="A33" s="218"/>
      <c r="B33" s="1116"/>
      <c r="C33" s="1149"/>
      <c r="D33" s="1009" t="str">
        <f>D30&amp;", "&amp;D31&amp;", "&amp;D32</f>
        <v>WP Autokult, WP Moto, Autocentrum</v>
      </c>
      <c r="E33" s="1010"/>
      <c r="F33" s="320">
        <v>45</v>
      </c>
      <c r="G33" s="334">
        <v>54</v>
      </c>
      <c r="H33" s="320">
        <v>68</v>
      </c>
      <c r="I33" s="334">
        <v>81</v>
      </c>
      <c r="J33" s="320">
        <v>90</v>
      </c>
      <c r="K33" s="334">
        <v>108</v>
      </c>
      <c r="L33" s="314">
        <v>105</v>
      </c>
      <c r="M33" s="334">
        <v>125</v>
      </c>
      <c r="N33" s="314">
        <v>120</v>
      </c>
      <c r="O33" s="334">
        <v>144</v>
      </c>
      <c r="P33" s="376">
        <v>34</v>
      </c>
      <c r="Q33" s="388" t="s">
        <v>35</v>
      </c>
      <c r="R33" s="378">
        <v>45</v>
      </c>
      <c r="S33" s="403" t="s">
        <v>35</v>
      </c>
      <c r="T33" s="378" t="s">
        <v>35</v>
      </c>
      <c r="U33" s="403" t="s">
        <v>35</v>
      </c>
      <c r="V33" s="216"/>
      <c r="W33" s="216"/>
      <c r="X33" s="218"/>
      <c r="Y33" s="218"/>
      <c r="Z33" s="218"/>
      <c r="AA33" s="218"/>
      <c r="AB33" s="218"/>
      <c r="AC33" s="218"/>
      <c r="AD33" s="218"/>
      <c r="AE33" s="218"/>
      <c r="AF33" s="218"/>
      <c r="AG33" s="218"/>
    </row>
    <row r="34" spans="1:33" s="218" customFormat="1" ht="12.75" hidden="1" customHeight="1" outlineLevel="1">
      <c r="B34" s="1116"/>
      <c r="C34" s="1150" t="str">
        <f>IF('Język - Language'!$B$30="Polski","ROZRYWKA","FUN")</f>
        <v>ROZRYWKA</v>
      </c>
      <c r="D34" s="288" t="s">
        <v>25</v>
      </c>
      <c r="E34" s="289"/>
      <c r="F34" s="313">
        <f>ROUND(F46*(1+0.3),-1)</f>
        <v>40</v>
      </c>
      <c r="G34" s="338">
        <v>48</v>
      </c>
      <c r="H34" s="313">
        <f>ROUND(H46*(1+0.3),-1)</f>
        <v>60</v>
      </c>
      <c r="I34" s="338">
        <v>72</v>
      </c>
      <c r="J34" s="313">
        <f>ROUND(J46*(1+0.3),-1)</f>
        <v>80</v>
      </c>
      <c r="K34" s="338">
        <v>96</v>
      </c>
      <c r="L34" s="313">
        <v>90</v>
      </c>
      <c r="M34" s="338">
        <v>108</v>
      </c>
      <c r="N34" s="313">
        <f>ROUND(N46*(1+0.3),-1)</f>
        <v>100</v>
      </c>
      <c r="O34" s="338">
        <v>120</v>
      </c>
      <c r="P34" s="350">
        <f>ROUND(P46*(1+0.3),-1)</f>
        <v>30</v>
      </c>
      <c r="Q34" s="392" t="s">
        <v>35</v>
      </c>
      <c r="R34" s="385">
        <f>ROUND(R46*(1+0.3),-1)</f>
        <v>40</v>
      </c>
      <c r="S34" s="404" t="s">
        <v>35</v>
      </c>
      <c r="T34" s="385" t="s">
        <v>35</v>
      </c>
      <c r="U34" s="404" t="s">
        <v>35</v>
      </c>
      <c r="V34" s="216"/>
      <c r="W34" s="216"/>
    </row>
    <row r="35" spans="1:33" s="218" customFormat="1" ht="12.75" hidden="1" customHeight="1" outlineLevel="1">
      <c r="B35" s="1116"/>
      <c r="C35" s="1146"/>
      <c r="D35" s="306" t="s">
        <v>101</v>
      </c>
      <c r="E35" s="307"/>
      <c r="F35" s="315">
        <f>ROUND(F46*(1+0.3),-1)</f>
        <v>40</v>
      </c>
      <c r="G35" s="339">
        <v>48</v>
      </c>
      <c r="H35" s="315">
        <f>ROUND(H46*(1+0.3),-1)</f>
        <v>60</v>
      </c>
      <c r="I35" s="339">
        <v>72</v>
      </c>
      <c r="J35" s="315">
        <f>ROUND(J46*(1+0.3),-1)</f>
        <v>80</v>
      </c>
      <c r="K35" s="339">
        <v>96</v>
      </c>
      <c r="L35" s="315">
        <v>90</v>
      </c>
      <c r="M35" s="339">
        <v>108</v>
      </c>
      <c r="N35" s="315">
        <f>ROUND(N46*(1+0.3),-1)</f>
        <v>100</v>
      </c>
      <c r="O35" s="339">
        <v>120</v>
      </c>
      <c r="P35" s="351">
        <f>ROUND(P46*(1+0.3),-1)</f>
        <v>30</v>
      </c>
      <c r="Q35" s="393" t="s">
        <v>35</v>
      </c>
      <c r="R35" s="386">
        <f>ROUND(R46*(1+0.3),-1)</f>
        <v>40</v>
      </c>
      <c r="S35" s="405" t="s">
        <v>35</v>
      </c>
      <c r="T35" s="386" t="s">
        <v>35</v>
      </c>
      <c r="U35" s="405" t="s">
        <v>35</v>
      </c>
      <c r="V35" s="216"/>
      <c r="W35" s="216"/>
    </row>
    <row r="36" spans="1:33" s="218" customFormat="1" ht="12.75" hidden="1" customHeight="1" outlineLevel="1">
      <c r="B36" s="1116"/>
      <c r="C36" s="1146"/>
      <c r="D36" s="292" t="s">
        <v>39</v>
      </c>
      <c r="E36" s="293"/>
      <c r="F36" s="315">
        <f>ROUND(F46*(1+0.3),-1)</f>
        <v>40</v>
      </c>
      <c r="G36" s="339">
        <v>48</v>
      </c>
      <c r="H36" s="315">
        <f>ROUND(H46*(1+0.3),-1)</f>
        <v>60</v>
      </c>
      <c r="I36" s="339">
        <v>72</v>
      </c>
      <c r="J36" s="315">
        <f>ROUND(J46*(1+0.3),-1)</f>
        <v>80</v>
      </c>
      <c r="K36" s="339">
        <v>96</v>
      </c>
      <c r="L36" s="315">
        <v>90</v>
      </c>
      <c r="M36" s="339">
        <v>108</v>
      </c>
      <c r="N36" s="315">
        <f>ROUND(N46*(1+0.3),-1)</f>
        <v>100</v>
      </c>
      <c r="O36" s="339">
        <v>120</v>
      </c>
      <c r="P36" s="351">
        <f>ROUND(P46*(1+0.3),-1)</f>
        <v>30</v>
      </c>
      <c r="Q36" s="393" t="s">
        <v>35</v>
      </c>
      <c r="R36" s="386">
        <f>ROUND(R46*(1+0.3),-1)</f>
        <v>40</v>
      </c>
      <c r="S36" s="405" t="s">
        <v>35</v>
      </c>
      <c r="T36" s="386" t="s">
        <v>35</v>
      </c>
      <c r="U36" s="405" t="s">
        <v>35</v>
      </c>
      <c r="V36" s="216"/>
      <c r="W36" s="216"/>
    </row>
    <row r="37" spans="1:33" s="218" customFormat="1" ht="12.75" hidden="1" customHeight="1" outlineLevel="1">
      <c r="B37" s="1116"/>
      <c r="C37" s="1146"/>
      <c r="D37" s="292" t="s">
        <v>28</v>
      </c>
      <c r="E37" s="293"/>
      <c r="F37" s="315">
        <f>ROUND(F46*(1+0.3),-1)</f>
        <v>40</v>
      </c>
      <c r="G37" s="339">
        <v>48</v>
      </c>
      <c r="H37" s="315">
        <f>ROUND(H46*(1+0.3),-1)</f>
        <v>60</v>
      </c>
      <c r="I37" s="339">
        <v>72</v>
      </c>
      <c r="J37" s="315">
        <f>ROUND(J46*(1+0.3),-1)</f>
        <v>80</v>
      </c>
      <c r="K37" s="339">
        <v>96</v>
      </c>
      <c r="L37" s="315">
        <v>90</v>
      </c>
      <c r="M37" s="339">
        <v>108</v>
      </c>
      <c r="N37" s="315">
        <f>ROUND(N46*(1+0.3),-1)</f>
        <v>100</v>
      </c>
      <c r="O37" s="339">
        <v>120</v>
      </c>
      <c r="P37" s="351">
        <f>ROUND(P46*(1+0.3),-1)</f>
        <v>30</v>
      </c>
      <c r="Q37" s="393" t="s">
        <v>35</v>
      </c>
      <c r="R37" s="386">
        <f>ROUND(R46*(1+0.3),-1)</f>
        <v>40</v>
      </c>
      <c r="S37" s="405" t="s">
        <v>35</v>
      </c>
      <c r="T37" s="386" t="s">
        <v>35</v>
      </c>
      <c r="U37" s="405" t="s">
        <v>35</v>
      </c>
      <c r="V37" s="216"/>
      <c r="W37" s="216"/>
    </row>
    <row r="38" spans="1:33" s="218" customFormat="1" ht="12.75" hidden="1" customHeight="1" outlineLevel="1">
      <c r="B38" s="1116"/>
      <c r="C38" s="1146"/>
      <c r="D38" s="292" t="s">
        <v>93</v>
      </c>
      <c r="E38" s="293"/>
      <c r="F38" s="315">
        <f>ROUND(F46*(1+0.3),-1)</f>
        <v>40</v>
      </c>
      <c r="G38" s="339">
        <v>48</v>
      </c>
      <c r="H38" s="315">
        <f>ROUND(H46*(1+0.3),-1)</f>
        <v>60</v>
      </c>
      <c r="I38" s="339">
        <v>72</v>
      </c>
      <c r="J38" s="315">
        <f>ROUND(J46*(1+0.3),-1)</f>
        <v>80</v>
      </c>
      <c r="K38" s="339">
        <v>96</v>
      </c>
      <c r="L38" s="315">
        <v>90</v>
      </c>
      <c r="M38" s="339">
        <v>108</v>
      </c>
      <c r="N38" s="315">
        <f>ROUND(N46*(1+0.3),-1)</f>
        <v>100</v>
      </c>
      <c r="O38" s="339">
        <v>120</v>
      </c>
      <c r="P38" s="351">
        <f>ROUND(P46*(1+0.3),-1)</f>
        <v>30</v>
      </c>
      <c r="Q38" s="393" t="s">
        <v>35</v>
      </c>
      <c r="R38" s="386">
        <f>ROUND(R46*(1+0.3),-1)</f>
        <v>40</v>
      </c>
      <c r="S38" s="405" t="s">
        <v>35</v>
      </c>
      <c r="T38" s="386" t="s">
        <v>35</v>
      </c>
      <c r="U38" s="405" t="s">
        <v>35</v>
      </c>
      <c r="V38" s="216"/>
      <c r="W38" s="216"/>
    </row>
    <row r="39" spans="1:33" s="218" customFormat="1" ht="12.75" hidden="1" customHeight="1" outlineLevel="1">
      <c r="B39" s="1116"/>
      <c r="C39" s="1146"/>
      <c r="D39" s="292" t="s">
        <v>94</v>
      </c>
      <c r="E39" s="293"/>
      <c r="F39" s="315">
        <f>ROUND(F46*(1+0.3),-1)</f>
        <v>40</v>
      </c>
      <c r="G39" s="339">
        <v>48</v>
      </c>
      <c r="H39" s="315">
        <f>ROUND(H46*(1+0.3),-1)</f>
        <v>60</v>
      </c>
      <c r="I39" s="339">
        <v>72</v>
      </c>
      <c r="J39" s="315">
        <f>ROUND(J46*(1+0.3),-1)</f>
        <v>80</v>
      </c>
      <c r="K39" s="339">
        <v>96</v>
      </c>
      <c r="L39" s="315">
        <v>90</v>
      </c>
      <c r="M39" s="339">
        <v>108</v>
      </c>
      <c r="N39" s="315">
        <f>ROUND(N46*(1+0.3),-1)</f>
        <v>100</v>
      </c>
      <c r="O39" s="339">
        <v>120</v>
      </c>
      <c r="P39" s="351">
        <f>ROUND(P46*(1+0.3),-1)</f>
        <v>30</v>
      </c>
      <c r="Q39" s="393" t="s">
        <v>35</v>
      </c>
      <c r="R39" s="386">
        <f>ROUND(R46*(1+0.3),-1)</f>
        <v>40</v>
      </c>
      <c r="S39" s="405" t="s">
        <v>35</v>
      </c>
      <c r="T39" s="386" t="s">
        <v>35</v>
      </c>
      <c r="U39" s="405" t="s">
        <v>35</v>
      </c>
      <c r="V39" s="216"/>
      <c r="W39" s="216"/>
    </row>
    <row r="40" spans="1:33" s="218" customFormat="1" ht="12.75" hidden="1" customHeight="1" outlineLevel="1">
      <c r="B40" s="1116"/>
      <c r="C40" s="1146"/>
      <c r="D40" s="292" t="s">
        <v>89</v>
      </c>
      <c r="E40" s="293"/>
      <c r="F40" s="315">
        <f>ROUND(F79*(1+0.3),-1)</f>
        <v>60</v>
      </c>
      <c r="G40" s="339">
        <v>72</v>
      </c>
      <c r="H40" s="315">
        <f>ROUND(H79*(1+0.3),-1)</f>
        <v>90</v>
      </c>
      <c r="I40" s="339">
        <v>108</v>
      </c>
      <c r="J40" s="315">
        <f>ROUND(J79*(1+0.3),-1)</f>
        <v>120</v>
      </c>
      <c r="K40" s="339">
        <v>144</v>
      </c>
      <c r="L40" s="315" t="s">
        <v>35</v>
      </c>
      <c r="M40" s="339" t="s">
        <v>35</v>
      </c>
      <c r="N40" s="315" t="s">
        <v>35</v>
      </c>
      <c r="O40" s="316" t="s">
        <v>35</v>
      </c>
      <c r="P40" s="351">
        <f>ROUND(P79*(1+0.3),-1)</f>
        <v>40</v>
      </c>
      <c r="Q40" s="393" t="s">
        <v>35</v>
      </c>
      <c r="R40" s="386">
        <f>ROUND(R79*(1+0.3),-1)</f>
        <v>60</v>
      </c>
      <c r="S40" s="405" t="s">
        <v>35</v>
      </c>
      <c r="T40" s="386" t="s">
        <v>35</v>
      </c>
      <c r="U40" s="405" t="s">
        <v>35</v>
      </c>
      <c r="V40" s="216"/>
      <c r="W40" s="216"/>
    </row>
    <row r="41" spans="1:33" s="218" customFormat="1" ht="12.75" hidden="1" customHeight="1" outlineLevel="1">
      <c r="B41" s="1116"/>
      <c r="C41" s="1146"/>
      <c r="D41" s="292" t="s">
        <v>95</v>
      </c>
      <c r="E41" s="293"/>
      <c r="F41" s="315">
        <f>ROUND(F79*(1+0.3),-1)</f>
        <v>60</v>
      </c>
      <c r="G41" s="339">
        <v>72</v>
      </c>
      <c r="H41" s="315">
        <f>ROUND(H79*(1+0.3),-1)</f>
        <v>90</v>
      </c>
      <c r="I41" s="339">
        <v>108</v>
      </c>
      <c r="J41" s="315">
        <f>ROUND(J79*(1+0.3),-1)</f>
        <v>120</v>
      </c>
      <c r="K41" s="339">
        <v>144</v>
      </c>
      <c r="L41" s="315">
        <v>140</v>
      </c>
      <c r="M41" s="339">
        <v>168</v>
      </c>
      <c r="N41" s="315" t="s">
        <v>35</v>
      </c>
      <c r="O41" s="316" t="s">
        <v>35</v>
      </c>
      <c r="P41" s="351">
        <f>ROUND(P79*(1+0.3),-1)</f>
        <v>40</v>
      </c>
      <c r="Q41" s="393" t="s">
        <v>35</v>
      </c>
      <c r="R41" s="386">
        <f>ROUND(R79*(1+0.3),-1)</f>
        <v>60</v>
      </c>
      <c r="S41" s="405" t="s">
        <v>35</v>
      </c>
      <c r="T41" s="386" t="s">
        <v>35</v>
      </c>
      <c r="U41" s="405" t="s">
        <v>35</v>
      </c>
      <c r="V41" s="216"/>
      <c r="W41" s="216"/>
    </row>
    <row r="42" spans="1:33" s="218" customFormat="1" ht="12.75" hidden="1" customHeight="1" outlineLevel="1">
      <c r="B42" s="1116"/>
      <c r="C42" s="1146"/>
      <c r="D42" s="292" t="s">
        <v>195</v>
      </c>
      <c r="E42" s="293"/>
      <c r="F42" s="362">
        <f>ROUND(F69*(1+0.3),-1)</f>
        <v>60</v>
      </c>
      <c r="G42" s="365">
        <v>72</v>
      </c>
      <c r="H42" s="362">
        <f>ROUND(H69*(1+0.3),-1)</f>
        <v>90</v>
      </c>
      <c r="I42" s="365">
        <v>108</v>
      </c>
      <c r="J42" s="362">
        <f>ROUND(J69*(1+0.3),-1)</f>
        <v>120</v>
      </c>
      <c r="K42" s="365">
        <v>144</v>
      </c>
      <c r="L42" s="362">
        <v>140</v>
      </c>
      <c r="M42" s="365">
        <v>168</v>
      </c>
      <c r="N42" s="362">
        <f>ROUND(N69*(1+0.3),-1)</f>
        <v>160</v>
      </c>
      <c r="O42" s="365">
        <v>192</v>
      </c>
      <c r="P42" s="351">
        <f>ROUND(P69*(1+0.3),-1)</f>
        <v>40</v>
      </c>
      <c r="Q42" s="393" t="s">
        <v>35</v>
      </c>
      <c r="R42" s="386">
        <f>ROUND(R69*(1+0.3),-1)</f>
        <v>60</v>
      </c>
      <c r="S42" s="405" t="s">
        <v>35</v>
      </c>
      <c r="T42" s="386" t="s">
        <v>35</v>
      </c>
      <c r="U42" s="405" t="s">
        <v>35</v>
      </c>
      <c r="V42" s="216"/>
      <c r="W42" s="216"/>
    </row>
    <row r="43" spans="1:33" s="218" customFormat="1" ht="12.75" hidden="1" customHeight="1" outlineLevel="1">
      <c r="B43" s="1116"/>
      <c r="C43" s="1146"/>
      <c r="D43" s="292" t="s">
        <v>32</v>
      </c>
      <c r="E43" s="293"/>
      <c r="F43" s="315">
        <f>ROUND(F46*(1+1),-1)</f>
        <v>60</v>
      </c>
      <c r="G43" s="339">
        <v>72</v>
      </c>
      <c r="H43" s="315">
        <f>ROUND(H46*(1+1),-1)</f>
        <v>90</v>
      </c>
      <c r="I43" s="339">
        <v>108</v>
      </c>
      <c r="J43" s="315">
        <f>ROUND(J46*(1+1),-1)</f>
        <v>120</v>
      </c>
      <c r="K43" s="339">
        <v>144</v>
      </c>
      <c r="L43" s="315">
        <v>140</v>
      </c>
      <c r="M43" s="339">
        <v>168</v>
      </c>
      <c r="N43" s="315">
        <f>ROUND(N46*(1+1),-1)</f>
        <v>160</v>
      </c>
      <c r="O43" s="339">
        <v>192</v>
      </c>
      <c r="P43" s="351">
        <f>ROUND(P79*(1+0.3),-1)</f>
        <v>40</v>
      </c>
      <c r="Q43" s="393" t="s">
        <v>35</v>
      </c>
      <c r="R43" s="386">
        <f>ROUND(R79*(1+0.3),-1)</f>
        <v>60</v>
      </c>
      <c r="S43" s="405" t="s">
        <v>35</v>
      </c>
      <c r="T43" s="386" t="s">
        <v>35</v>
      </c>
      <c r="U43" s="405" t="s">
        <v>35</v>
      </c>
      <c r="V43" s="216"/>
      <c r="W43" s="216"/>
    </row>
    <row r="44" spans="1:33" s="218" customFormat="1" ht="12.75" hidden="1" customHeight="1" outlineLevel="1">
      <c r="B44" s="1116"/>
      <c r="C44" s="1146"/>
      <c r="D44" s="292" t="s">
        <v>96</v>
      </c>
      <c r="E44" s="293"/>
      <c r="F44" s="315">
        <f>ROUND(F46*(1+0.3),-1)</f>
        <v>40</v>
      </c>
      <c r="G44" s="339">
        <v>48</v>
      </c>
      <c r="H44" s="315">
        <f>ROUND(H46*(1+0.3),-1)</f>
        <v>60</v>
      </c>
      <c r="I44" s="339">
        <v>72</v>
      </c>
      <c r="J44" s="315">
        <f>ROUND(J46*(1+0.3),-1)</f>
        <v>80</v>
      </c>
      <c r="K44" s="339">
        <v>96</v>
      </c>
      <c r="L44" s="315">
        <v>90</v>
      </c>
      <c r="M44" s="339">
        <v>108</v>
      </c>
      <c r="N44" s="315">
        <f>ROUND(N46*(1+0.3),-1)</f>
        <v>100</v>
      </c>
      <c r="O44" s="339">
        <v>120</v>
      </c>
      <c r="P44" s="351">
        <f>ROUND(P46*(1+0.3),-1)</f>
        <v>30</v>
      </c>
      <c r="Q44" s="393" t="s">
        <v>35</v>
      </c>
      <c r="R44" s="386">
        <f>ROUND(R46*(1+0.3),-1)</f>
        <v>40</v>
      </c>
      <c r="S44" s="405" t="s">
        <v>35</v>
      </c>
      <c r="T44" s="386" t="s">
        <v>35</v>
      </c>
      <c r="U44" s="405" t="s">
        <v>35</v>
      </c>
      <c r="V44" s="216"/>
      <c r="W44" s="216"/>
    </row>
    <row r="45" spans="1:33" s="218" customFormat="1" ht="12.75" hidden="1" customHeight="1" outlineLevel="1">
      <c r="B45" s="1116"/>
      <c r="C45" s="1146"/>
      <c r="D45" s="290" t="s">
        <v>97</v>
      </c>
      <c r="E45" s="291"/>
      <c r="F45" s="317">
        <f>ROUND(F79*(1+0.3),-1)</f>
        <v>60</v>
      </c>
      <c r="G45" s="340">
        <v>72</v>
      </c>
      <c r="H45" s="317">
        <f>ROUND(H79*(1+0.3),-1)</f>
        <v>90</v>
      </c>
      <c r="I45" s="340">
        <v>108</v>
      </c>
      <c r="J45" s="317">
        <f>ROUND(J79*(1+0.3),-1)</f>
        <v>120</v>
      </c>
      <c r="K45" s="340">
        <v>144</v>
      </c>
      <c r="L45" s="317" t="s">
        <v>35</v>
      </c>
      <c r="M45" s="340" t="s">
        <v>35</v>
      </c>
      <c r="N45" s="317" t="s">
        <v>35</v>
      </c>
      <c r="O45" s="318" t="s">
        <v>35</v>
      </c>
      <c r="P45" s="384">
        <f>ROUND(P79*(1+0.3),-1)</f>
        <v>40</v>
      </c>
      <c r="Q45" s="394" t="s">
        <v>35</v>
      </c>
      <c r="R45" s="343">
        <f>ROUND(R79*(1+0.3),-1)</f>
        <v>60</v>
      </c>
      <c r="S45" s="406" t="s">
        <v>35</v>
      </c>
      <c r="T45" s="343" t="s">
        <v>35</v>
      </c>
      <c r="U45" s="406" t="s">
        <v>35</v>
      </c>
      <c r="V45" s="216"/>
      <c r="W45" s="216"/>
    </row>
    <row r="46" spans="1:33" s="186" customFormat="1" ht="42" customHeight="1" collapsed="1">
      <c r="A46" s="218"/>
      <c r="B46" s="1116"/>
      <c r="C46" s="1147"/>
      <c r="D46" s="1154" t="str">
        <f>D34&amp;", "&amp;D35&amp;", "&amp;D36&amp;", "&amp;D37&amp;", "&amp;D38&amp;", "&amp;D39&amp;", "&amp;D40&amp;", "&amp;D41&amp;", "&amp;D42&amp;", "&amp;D43&amp;", "&amp;D44&amp;", "&amp;D45</f>
        <v>WP Film, WP Gry, WP Gwiazdy, WP Książki, WP Program TV, WP Teleshow, WP Pilot, WP Wideo, polygamia.pl, Pudelek, o2 serwisy, OpenFM</v>
      </c>
      <c r="E46" s="1155"/>
      <c r="F46" s="320">
        <v>30</v>
      </c>
      <c r="G46" s="334">
        <v>36</v>
      </c>
      <c r="H46" s="320">
        <v>45</v>
      </c>
      <c r="I46" s="334">
        <v>54</v>
      </c>
      <c r="J46" s="320">
        <v>60</v>
      </c>
      <c r="K46" s="334">
        <v>72</v>
      </c>
      <c r="L46" s="314">
        <v>70</v>
      </c>
      <c r="M46" s="334">
        <v>85</v>
      </c>
      <c r="N46" s="314">
        <v>78</v>
      </c>
      <c r="O46" s="334">
        <v>94</v>
      </c>
      <c r="P46" s="374">
        <v>23</v>
      </c>
      <c r="Q46" s="388" t="s">
        <v>35</v>
      </c>
      <c r="R46" s="378">
        <v>30</v>
      </c>
      <c r="S46" s="396" t="s">
        <v>35</v>
      </c>
      <c r="T46" s="378" t="s">
        <v>35</v>
      </c>
      <c r="U46" s="396" t="s">
        <v>35</v>
      </c>
      <c r="V46" s="216"/>
      <c r="W46" s="216"/>
      <c r="X46" s="218"/>
      <c r="Y46" s="218"/>
      <c r="Z46" s="218"/>
      <c r="AA46" s="218"/>
      <c r="AB46" s="218"/>
    </row>
    <row r="47" spans="1:33" s="218" customFormat="1" ht="12.75" hidden="1" customHeight="1" outlineLevel="1">
      <c r="B47" s="1116"/>
      <c r="C47" s="1150" t="str">
        <f>IF('Język - Language'!$B$30="Polski","STYL ŻYCIA","LIFESTYLE")</f>
        <v>STYL ŻYCIA</v>
      </c>
      <c r="D47" s="288" t="s">
        <v>20</v>
      </c>
      <c r="E47" s="289"/>
      <c r="F47" s="313">
        <f>ROUND(F75*(1+0.3),-1)</f>
        <v>110</v>
      </c>
      <c r="G47" s="338">
        <v>132</v>
      </c>
      <c r="H47" s="313">
        <f>ROUND(H75*(1+0.3),-1)</f>
        <v>160</v>
      </c>
      <c r="I47" s="338">
        <v>192</v>
      </c>
      <c r="J47" s="313">
        <f>ROUND(J75*(1+0.3),-1)</f>
        <v>210</v>
      </c>
      <c r="K47" s="338">
        <v>252</v>
      </c>
      <c r="L47" s="313">
        <v>240</v>
      </c>
      <c r="M47" s="338">
        <v>288</v>
      </c>
      <c r="N47" s="313">
        <f>ROUND(N75*(1+0.3),-1)</f>
        <v>270</v>
      </c>
      <c r="O47" s="338">
        <v>324</v>
      </c>
      <c r="P47" s="350">
        <f>ROUND(P75*(1+0.3),-1)</f>
        <v>80</v>
      </c>
      <c r="Q47" s="392" t="s">
        <v>35</v>
      </c>
      <c r="R47" s="350">
        <f>ROUND(R75*(1+0.3),-1)</f>
        <v>110</v>
      </c>
      <c r="S47" s="400" t="s">
        <v>35</v>
      </c>
      <c r="T47" s="350" t="s">
        <v>35</v>
      </c>
      <c r="U47" s="400" t="s">
        <v>35</v>
      </c>
      <c r="V47" s="216"/>
      <c r="W47" s="216"/>
    </row>
    <row r="48" spans="1:33" s="218" customFormat="1" ht="12.75" hidden="1" customHeight="1" outlineLevel="1">
      <c r="B48" s="1116"/>
      <c r="C48" s="1146"/>
      <c r="D48" s="306" t="s">
        <v>137</v>
      </c>
      <c r="E48" s="307"/>
      <c r="F48" s="424">
        <f>ROUND(F61*(1+0.3),-1)</f>
        <v>60</v>
      </c>
      <c r="G48" s="425">
        <v>72</v>
      </c>
      <c r="H48" s="424">
        <f>ROUND(H61*(1+0.3),-1)</f>
        <v>90</v>
      </c>
      <c r="I48" s="425">
        <v>108</v>
      </c>
      <c r="J48" s="424">
        <f>ROUND(J61*(1+0.3),-1)</f>
        <v>120</v>
      </c>
      <c r="K48" s="425">
        <v>144</v>
      </c>
      <c r="L48" s="424">
        <v>140</v>
      </c>
      <c r="M48" s="425">
        <v>168</v>
      </c>
      <c r="N48" s="424">
        <f>ROUND(N61*(1+0.3),-1)</f>
        <v>160</v>
      </c>
      <c r="O48" s="425">
        <v>192</v>
      </c>
      <c r="P48" s="426">
        <f>ROUND(P61*(1+0.3),-1)</f>
        <v>40</v>
      </c>
      <c r="Q48" s="427" t="s">
        <v>35</v>
      </c>
      <c r="R48" s="426">
        <f>ROUND(R61*(1+0.3),-1)</f>
        <v>60</v>
      </c>
      <c r="S48" s="428" t="s">
        <v>35</v>
      </c>
      <c r="T48" s="426" t="s">
        <v>35</v>
      </c>
      <c r="U48" s="428" t="s">
        <v>35</v>
      </c>
      <c r="V48" s="216"/>
      <c r="W48" s="216"/>
    </row>
    <row r="49" spans="1:28" s="218" customFormat="1" ht="12.75" hidden="1" customHeight="1" outlineLevel="1">
      <c r="B49" s="1116"/>
      <c r="C49" s="1146"/>
      <c r="D49" s="292" t="s">
        <v>30</v>
      </c>
      <c r="E49" s="293"/>
      <c r="F49" s="315">
        <f>ROUND(F61*(1+0.3),-1)</f>
        <v>60</v>
      </c>
      <c r="G49" s="339">
        <v>72</v>
      </c>
      <c r="H49" s="315">
        <f>ROUND(H61*(1+0.3),-1)</f>
        <v>90</v>
      </c>
      <c r="I49" s="339">
        <v>108</v>
      </c>
      <c r="J49" s="315">
        <f>ROUND(J61*(1+0.3),-1)</f>
        <v>120</v>
      </c>
      <c r="K49" s="339">
        <v>144</v>
      </c>
      <c r="L49" s="315">
        <v>140</v>
      </c>
      <c r="M49" s="339">
        <v>168</v>
      </c>
      <c r="N49" s="315">
        <f>ROUND(N61*(1+0.3),-1)</f>
        <v>160</v>
      </c>
      <c r="O49" s="339">
        <v>192</v>
      </c>
      <c r="P49" s="351">
        <f>ROUND(P61*(1+0.3),-1)</f>
        <v>40</v>
      </c>
      <c r="Q49" s="393" t="s">
        <v>35</v>
      </c>
      <c r="R49" s="351">
        <f>ROUND(R61*(1+0.3),-1)</f>
        <v>60</v>
      </c>
      <c r="S49" s="401" t="s">
        <v>35</v>
      </c>
      <c r="T49" s="351" t="s">
        <v>35</v>
      </c>
      <c r="U49" s="401" t="s">
        <v>35</v>
      </c>
      <c r="V49" s="216"/>
      <c r="W49" s="216"/>
    </row>
    <row r="50" spans="1:28" s="218" customFormat="1" ht="12.75" hidden="1" customHeight="1" outlineLevel="1">
      <c r="B50" s="1116"/>
      <c r="C50" s="1146"/>
      <c r="D50" s="292" t="s">
        <v>27</v>
      </c>
      <c r="E50" s="293"/>
      <c r="F50" s="315">
        <f>ROUND(F61*(1+0.3),-1)</f>
        <v>60</v>
      </c>
      <c r="G50" s="339">
        <v>72</v>
      </c>
      <c r="H50" s="315">
        <f>ROUND(H61*(1+0.3),-1)</f>
        <v>90</v>
      </c>
      <c r="I50" s="339">
        <v>108</v>
      </c>
      <c r="J50" s="315">
        <f>ROUND(J61*(1+0.3),-1)</f>
        <v>120</v>
      </c>
      <c r="K50" s="339">
        <v>144</v>
      </c>
      <c r="L50" s="315">
        <v>140</v>
      </c>
      <c r="M50" s="339">
        <v>168</v>
      </c>
      <c r="N50" s="315">
        <f>ROUND(N61*(1+0.3),-1)</f>
        <v>160</v>
      </c>
      <c r="O50" s="339">
        <v>192</v>
      </c>
      <c r="P50" s="351">
        <f>ROUND(P61*(1+0.3),-1)</f>
        <v>40</v>
      </c>
      <c r="Q50" s="393" t="s">
        <v>35</v>
      </c>
      <c r="R50" s="351">
        <f>ROUND(R61*(1+0.3),-1)</f>
        <v>60</v>
      </c>
      <c r="S50" s="401" t="s">
        <v>35</v>
      </c>
      <c r="T50" s="351" t="s">
        <v>35</v>
      </c>
      <c r="U50" s="401" t="s">
        <v>35</v>
      </c>
      <c r="V50" s="216"/>
      <c r="W50" s="216"/>
    </row>
    <row r="51" spans="1:28" s="218" customFormat="1" ht="12.75" hidden="1" customHeight="1" outlineLevel="1">
      <c r="B51" s="1116"/>
      <c r="C51" s="1146"/>
      <c r="D51" s="292" t="s">
        <v>98</v>
      </c>
      <c r="E51" s="293"/>
      <c r="F51" s="315">
        <f>ROUND(F61*(1+0.3),-1)</f>
        <v>60</v>
      </c>
      <c r="G51" s="339">
        <v>72</v>
      </c>
      <c r="H51" s="315">
        <f>ROUND(H61*(1+0.3),-1)</f>
        <v>90</v>
      </c>
      <c r="I51" s="339">
        <v>108</v>
      </c>
      <c r="J51" s="315">
        <f>ROUND(J61*(1+0.3),-1)</f>
        <v>120</v>
      </c>
      <c r="K51" s="339">
        <v>144</v>
      </c>
      <c r="L51" s="315">
        <v>140</v>
      </c>
      <c r="M51" s="339">
        <v>168</v>
      </c>
      <c r="N51" s="315">
        <f>ROUND(N61*(1+0.3),-1)</f>
        <v>160</v>
      </c>
      <c r="O51" s="339">
        <v>192</v>
      </c>
      <c r="P51" s="351">
        <f>ROUND(P61*(1+0.3),-1)</f>
        <v>40</v>
      </c>
      <c r="Q51" s="393" t="s">
        <v>35</v>
      </c>
      <c r="R51" s="351">
        <f>ROUND(R61*(1+0.3),-1)</f>
        <v>60</v>
      </c>
      <c r="S51" s="401" t="s">
        <v>35</v>
      </c>
      <c r="T51" s="351" t="s">
        <v>35</v>
      </c>
      <c r="U51" s="401" t="s">
        <v>35</v>
      </c>
      <c r="V51" s="216"/>
      <c r="W51" s="216"/>
    </row>
    <row r="52" spans="1:28" s="218" customFormat="1" ht="12.75" hidden="1" customHeight="1" outlineLevel="1">
      <c r="B52" s="1116"/>
      <c r="C52" s="1146"/>
      <c r="D52" s="292" t="s">
        <v>29</v>
      </c>
      <c r="E52" s="293"/>
      <c r="F52" s="315">
        <f>ROUND(F61*(1+0.3),-1)</f>
        <v>60</v>
      </c>
      <c r="G52" s="339">
        <v>72</v>
      </c>
      <c r="H52" s="315">
        <f>ROUND(H61*(1+0.3),-1)</f>
        <v>90</v>
      </c>
      <c r="I52" s="339">
        <v>108</v>
      </c>
      <c r="J52" s="315">
        <f>ROUND(J61*(1+0.3),-1)</f>
        <v>120</v>
      </c>
      <c r="K52" s="339">
        <v>144</v>
      </c>
      <c r="L52" s="315">
        <v>140</v>
      </c>
      <c r="M52" s="339">
        <v>168</v>
      </c>
      <c r="N52" s="315">
        <f>ROUND(N61*(1+0.3),-1)</f>
        <v>160</v>
      </c>
      <c r="O52" s="339">
        <v>192</v>
      </c>
      <c r="P52" s="351">
        <f>ROUND(P61*(1+0.3),-1)</f>
        <v>40</v>
      </c>
      <c r="Q52" s="393" t="s">
        <v>35</v>
      </c>
      <c r="R52" s="351">
        <f>ROUND(R61*(1+0.3),-1)</f>
        <v>60</v>
      </c>
      <c r="S52" s="401" t="s">
        <v>35</v>
      </c>
      <c r="T52" s="351" t="s">
        <v>35</v>
      </c>
      <c r="U52" s="401" t="s">
        <v>35</v>
      </c>
      <c r="V52" s="216"/>
      <c r="W52" s="216"/>
    </row>
    <row r="53" spans="1:28" s="218" customFormat="1" ht="12.75" hidden="1" customHeight="1" outlineLevel="1">
      <c r="B53" s="1116"/>
      <c r="C53" s="1146"/>
      <c r="D53" s="292" t="s">
        <v>21</v>
      </c>
      <c r="E53" s="293"/>
      <c r="F53" s="315">
        <f>ROUND(F61*(1+0.3),-1)</f>
        <v>60</v>
      </c>
      <c r="G53" s="339">
        <v>72</v>
      </c>
      <c r="H53" s="315">
        <f>ROUND(H61*(1+0.3),-1)</f>
        <v>90</v>
      </c>
      <c r="I53" s="339">
        <v>108</v>
      </c>
      <c r="J53" s="315">
        <f>ROUND(J61*(1+0.3),-1)</f>
        <v>120</v>
      </c>
      <c r="K53" s="339">
        <v>144</v>
      </c>
      <c r="L53" s="315">
        <v>140</v>
      </c>
      <c r="M53" s="339">
        <v>168</v>
      </c>
      <c r="N53" s="315">
        <f>ROUND(N61*(1+0.3),-1)</f>
        <v>160</v>
      </c>
      <c r="O53" s="339">
        <v>192</v>
      </c>
      <c r="P53" s="351">
        <f>ROUND(P61*(1+0.3),-1)</f>
        <v>40</v>
      </c>
      <c r="Q53" s="393" t="s">
        <v>35</v>
      </c>
      <c r="R53" s="351">
        <f>ROUND(R61*(1+0.3),-1)</f>
        <v>60</v>
      </c>
      <c r="S53" s="401" t="s">
        <v>35</v>
      </c>
      <c r="T53" s="351" t="s">
        <v>35</v>
      </c>
      <c r="U53" s="401" t="s">
        <v>35</v>
      </c>
      <c r="V53" s="216"/>
      <c r="W53" s="216"/>
    </row>
    <row r="54" spans="1:28" s="218" customFormat="1" ht="12.75" hidden="1" customHeight="1" outlineLevel="1">
      <c r="B54" s="1116"/>
      <c r="C54" s="1146"/>
      <c r="D54" s="292" t="s">
        <v>89</v>
      </c>
      <c r="E54" s="293"/>
      <c r="F54" s="362">
        <f>ROUND(F79*(1+0.3),-1)</f>
        <v>60</v>
      </c>
      <c r="G54" s="365">
        <v>72</v>
      </c>
      <c r="H54" s="362">
        <f>ROUND(H79*(1+0.3),-1)</f>
        <v>90</v>
      </c>
      <c r="I54" s="365">
        <v>108</v>
      </c>
      <c r="J54" s="362">
        <f>ROUND(J79*(1+0.3),-1)</f>
        <v>120</v>
      </c>
      <c r="K54" s="365">
        <v>144</v>
      </c>
      <c r="L54" s="362" t="s">
        <v>35</v>
      </c>
      <c r="M54" s="365" t="s">
        <v>35</v>
      </c>
      <c r="N54" s="362" t="s">
        <v>35</v>
      </c>
      <c r="O54" s="365" t="s">
        <v>35</v>
      </c>
      <c r="P54" s="351" t="s">
        <v>35</v>
      </c>
      <c r="Q54" s="393" t="s">
        <v>35</v>
      </c>
      <c r="R54" s="351" t="s">
        <v>35</v>
      </c>
      <c r="S54" s="401" t="s">
        <v>35</v>
      </c>
      <c r="T54" s="351" t="s">
        <v>35</v>
      </c>
      <c r="U54" s="401" t="s">
        <v>35</v>
      </c>
      <c r="V54" s="216"/>
      <c r="W54" s="216"/>
    </row>
    <row r="55" spans="1:28" s="218" customFormat="1" ht="12.75" hidden="1" customHeight="1" outlineLevel="1">
      <c r="B55" s="1116"/>
      <c r="C55" s="1146"/>
      <c r="D55" s="292" t="s">
        <v>93</v>
      </c>
      <c r="E55" s="293"/>
      <c r="F55" s="315">
        <f>ROUND(F46*(1+0.3),-1)</f>
        <v>40</v>
      </c>
      <c r="G55" s="339">
        <v>48</v>
      </c>
      <c r="H55" s="315">
        <f>ROUND(H46*(1+0.3),-1)</f>
        <v>60</v>
      </c>
      <c r="I55" s="339">
        <v>72</v>
      </c>
      <c r="J55" s="315">
        <f>ROUND(J46*(1+0.3),-1)</f>
        <v>80</v>
      </c>
      <c r="K55" s="339">
        <v>96</v>
      </c>
      <c r="L55" s="315">
        <v>90</v>
      </c>
      <c r="M55" s="339">
        <v>108</v>
      </c>
      <c r="N55" s="315">
        <f>ROUND(N46*(1+0.3),-1)</f>
        <v>100</v>
      </c>
      <c r="O55" s="339">
        <v>120</v>
      </c>
      <c r="P55" s="351">
        <f>ROUND(P46*(1+0.3),-1)</f>
        <v>30</v>
      </c>
      <c r="Q55" s="393" t="s">
        <v>35</v>
      </c>
      <c r="R55" s="351">
        <f>ROUND(R46*(1+0.3),-1)</f>
        <v>40</v>
      </c>
      <c r="S55" s="401" t="s">
        <v>35</v>
      </c>
      <c r="T55" s="351" t="s">
        <v>35</v>
      </c>
      <c r="U55" s="401" t="s">
        <v>35</v>
      </c>
      <c r="V55" s="216"/>
      <c r="W55" s="216"/>
    </row>
    <row r="56" spans="1:28" s="218" customFormat="1" ht="12.75" hidden="1" customHeight="1" outlineLevel="1">
      <c r="B56" s="1116"/>
      <c r="C56" s="1146"/>
      <c r="D56" s="292" t="s">
        <v>26</v>
      </c>
      <c r="E56" s="293"/>
      <c r="F56" s="315">
        <f>ROUND(F61*(1+0.3),-1)</f>
        <v>60</v>
      </c>
      <c r="G56" s="339">
        <v>72</v>
      </c>
      <c r="H56" s="315">
        <f>ROUND(H61*(1+0.3),-1)</f>
        <v>90</v>
      </c>
      <c r="I56" s="339">
        <v>108</v>
      </c>
      <c r="J56" s="315">
        <f>ROUND(J61*(1+0.3),-1)</f>
        <v>120</v>
      </c>
      <c r="K56" s="339">
        <v>144</v>
      </c>
      <c r="L56" s="315">
        <v>140</v>
      </c>
      <c r="M56" s="339">
        <v>168</v>
      </c>
      <c r="N56" s="315">
        <f>ROUND(N61*(1+0.3),-1)</f>
        <v>160</v>
      </c>
      <c r="O56" s="339">
        <v>192</v>
      </c>
      <c r="P56" s="351">
        <f>ROUND(P61*(1+0.3),-1)</f>
        <v>40</v>
      </c>
      <c r="Q56" s="393" t="s">
        <v>35</v>
      </c>
      <c r="R56" s="351">
        <f>ROUND(R61*(1+0.3),-1)</f>
        <v>60</v>
      </c>
      <c r="S56" s="401" t="s">
        <v>35</v>
      </c>
      <c r="T56" s="351" t="s">
        <v>35</v>
      </c>
      <c r="U56" s="401" t="s">
        <v>35</v>
      </c>
      <c r="V56" s="216"/>
      <c r="W56" s="216"/>
    </row>
    <row r="57" spans="1:28" s="218" customFormat="1" ht="12.75" hidden="1" customHeight="1" outlineLevel="1">
      <c r="B57" s="1116"/>
      <c r="C57" s="1146"/>
      <c r="D57" s="292" t="s">
        <v>181</v>
      </c>
      <c r="E57" s="293"/>
      <c r="F57" s="362">
        <f>ROUND(F29*(1+0.3),-1)</f>
        <v>70</v>
      </c>
      <c r="G57" s="365">
        <v>84</v>
      </c>
      <c r="H57" s="362">
        <f>ROUND(H29*(1+0.3),-1)</f>
        <v>100</v>
      </c>
      <c r="I57" s="365">
        <v>120</v>
      </c>
      <c r="J57" s="362">
        <f>ROUND(J29*(1+0.3),-1)</f>
        <v>140</v>
      </c>
      <c r="K57" s="365">
        <v>168</v>
      </c>
      <c r="L57" s="362">
        <v>160</v>
      </c>
      <c r="M57" s="365">
        <v>192</v>
      </c>
      <c r="N57" s="362">
        <f>ROUND(N29*(1+0.3),-1)</f>
        <v>190</v>
      </c>
      <c r="O57" s="365">
        <v>228</v>
      </c>
      <c r="P57" s="351">
        <f>ROUND(P29*(1+0.3),-1)</f>
        <v>50</v>
      </c>
      <c r="Q57" s="393" t="s">
        <v>35</v>
      </c>
      <c r="R57" s="351">
        <f>ROUND(R29*(1+0.3),-1)</f>
        <v>70</v>
      </c>
      <c r="S57" s="401" t="s">
        <v>35</v>
      </c>
      <c r="T57" s="351" t="s">
        <v>35</v>
      </c>
      <c r="U57" s="401" t="s">
        <v>35</v>
      </c>
      <c r="V57" s="216"/>
      <c r="W57" s="216"/>
    </row>
    <row r="58" spans="1:28" s="218" customFormat="1" ht="12.75" hidden="1" customHeight="1" outlineLevel="1">
      <c r="B58" s="1116"/>
      <c r="C58" s="1146"/>
      <c r="D58" s="306" t="s">
        <v>97</v>
      </c>
      <c r="E58" s="307"/>
      <c r="F58" s="424">
        <f>ROUND(F79*(1+0.3),-1)</f>
        <v>60</v>
      </c>
      <c r="G58" s="425">
        <v>72</v>
      </c>
      <c r="H58" s="424">
        <f>ROUND(H79*(1+0.3),-1)</f>
        <v>90</v>
      </c>
      <c r="I58" s="425">
        <v>108</v>
      </c>
      <c r="J58" s="424">
        <f>ROUND(J79*(1+0.3),-1)</f>
        <v>120</v>
      </c>
      <c r="K58" s="425">
        <v>144</v>
      </c>
      <c r="L58" s="424" t="s">
        <v>35</v>
      </c>
      <c r="M58" s="425" t="s">
        <v>35</v>
      </c>
      <c r="N58" s="424" t="s">
        <v>35</v>
      </c>
      <c r="O58" s="507" t="s">
        <v>35</v>
      </c>
      <c r="P58" s="426">
        <f>ROUND(P79*(1+0.3),-1)</f>
        <v>40</v>
      </c>
      <c r="Q58" s="427" t="s">
        <v>35</v>
      </c>
      <c r="R58" s="426">
        <f>ROUND(R79*(1+0.3),-1)</f>
        <v>60</v>
      </c>
      <c r="S58" s="428" t="s">
        <v>35</v>
      </c>
      <c r="T58" s="426" t="s">
        <v>35</v>
      </c>
      <c r="U58" s="428" t="s">
        <v>35</v>
      </c>
      <c r="V58" s="216"/>
      <c r="W58" s="216"/>
    </row>
    <row r="59" spans="1:28" s="218" customFormat="1" ht="12.75" hidden="1" customHeight="1" outlineLevel="1">
      <c r="B59" s="1116"/>
      <c r="C59" s="1146"/>
      <c r="D59" s="292" t="s">
        <v>196</v>
      </c>
      <c r="E59" s="293"/>
      <c r="F59" s="362">
        <f>ROUND(F61*(1+0.3),-1)</f>
        <v>60</v>
      </c>
      <c r="G59" s="365">
        <v>72</v>
      </c>
      <c r="H59" s="362">
        <f>ROUND(H61*(1+0.3),-1)</f>
        <v>90</v>
      </c>
      <c r="I59" s="365">
        <v>108</v>
      </c>
      <c r="J59" s="362">
        <f>ROUND(J61*(1+0.3),-1)</f>
        <v>120</v>
      </c>
      <c r="K59" s="365">
        <v>144</v>
      </c>
      <c r="L59" s="362">
        <v>140</v>
      </c>
      <c r="M59" s="365">
        <v>168</v>
      </c>
      <c r="N59" s="362">
        <f>ROUND(N61*(1+0.3),-1)</f>
        <v>160</v>
      </c>
      <c r="O59" s="365">
        <v>192</v>
      </c>
      <c r="P59" s="351"/>
      <c r="Q59" s="393"/>
      <c r="R59" s="351"/>
      <c r="S59" s="401"/>
      <c r="T59" s="351"/>
      <c r="U59" s="401"/>
      <c r="V59" s="216"/>
      <c r="W59" s="216"/>
    </row>
    <row r="60" spans="1:28" s="218" customFormat="1" ht="12.75" hidden="1" customHeight="1" outlineLevel="1">
      <c r="B60" s="1116"/>
      <c r="C60" s="1146"/>
      <c r="D60" s="290" t="s">
        <v>92</v>
      </c>
      <c r="E60" s="291"/>
      <c r="F60" s="505">
        <f>ROUND(F29*(1+0.3),-1)</f>
        <v>70</v>
      </c>
      <c r="G60" s="506">
        <v>84</v>
      </c>
      <c r="H60" s="505">
        <f>ROUND(H29*(1+0.3),-1)</f>
        <v>100</v>
      </c>
      <c r="I60" s="506">
        <v>120</v>
      </c>
      <c r="J60" s="505">
        <f>ROUND(J29*(1+0.3),-1)</f>
        <v>140</v>
      </c>
      <c r="K60" s="506">
        <v>168</v>
      </c>
      <c r="L60" s="505">
        <v>160</v>
      </c>
      <c r="M60" s="506">
        <v>192</v>
      </c>
      <c r="N60" s="505">
        <f>ROUND(N29*(1+0.3),-1)</f>
        <v>190</v>
      </c>
      <c r="O60" s="506">
        <v>228</v>
      </c>
      <c r="P60" s="384">
        <f>ROUND(P29*(1+0.3),-1)</f>
        <v>50</v>
      </c>
      <c r="Q60" s="394" t="s">
        <v>35</v>
      </c>
      <c r="R60" s="384">
        <f>ROUND(R29*(1+0.3),-1)</f>
        <v>70</v>
      </c>
      <c r="S60" s="397" t="s">
        <v>35</v>
      </c>
      <c r="T60" s="384" t="s">
        <v>35</v>
      </c>
      <c r="U60" s="397" t="s">
        <v>35</v>
      </c>
      <c r="V60" s="216"/>
      <c r="W60" s="216"/>
    </row>
    <row r="61" spans="1:28" ht="48" customHeight="1" collapsed="1">
      <c r="A61" s="218"/>
      <c r="B61" s="1116"/>
      <c r="C61" s="1147"/>
      <c r="D61" s="1009" t="str">
        <f>D47&amp;", "&amp;D48&amp;", "&amp;D49&amp;", "&amp;D50&amp;", "&amp;D51&amp;", "&amp;D52&amp;", "&amp;D53&amp;", "&amp;D54&amp;", "&amp;D55&amp;", "&amp;D56&amp;", "&amp;D57&amp;", "&amp;D58&amp;", "&amp;D59&amp;", "&amp;D60</f>
        <v>WP abcZdrowie, WP Dom, WP Facet, WP Kobieta, Kafeteria.pl, WP Kuchnia, WP Parenting, WP Pilot, WP Program TV, WP Turystyka, WP Wroclaw, OpenFM, Praca.money.pl, Wawalove</v>
      </c>
      <c r="E61" s="1010"/>
      <c r="F61" s="320">
        <v>45</v>
      </c>
      <c r="G61" s="334">
        <v>54</v>
      </c>
      <c r="H61" s="320">
        <v>68</v>
      </c>
      <c r="I61" s="334">
        <v>81</v>
      </c>
      <c r="J61" s="320">
        <v>90</v>
      </c>
      <c r="K61" s="334">
        <v>108</v>
      </c>
      <c r="L61" s="314">
        <v>105</v>
      </c>
      <c r="M61" s="334">
        <v>125</v>
      </c>
      <c r="N61" s="314">
        <v>120</v>
      </c>
      <c r="O61" s="334">
        <v>144</v>
      </c>
      <c r="P61" s="374">
        <v>34</v>
      </c>
      <c r="Q61" s="388" t="s">
        <v>35</v>
      </c>
      <c r="R61" s="374">
        <v>45</v>
      </c>
      <c r="S61" s="407" t="s">
        <v>35</v>
      </c>
      <c r="T61" s="374" t="s">
        <v>35</v>
      </c>
      <c r="U61" s="407" t="s">
        <v>35</v>
      </c>
      <c r="V61" s="216"/>
      <c r="W61" s="216"/>
      <c r="X61" s="218"/>
      <c r="Y61" s="218"/>
      <c r="Z61" s="218"/>
      <c r="AA61" s="218"/>
      <c r="AB61" s="218"/>
    </row>
    <row r="62" spans="1:28" s="218" customFormat="1" ht="12.75" hidden="1" customHeight="1" outlineLevel="1">
      <c r="B62" s="1116"/>
      <c r="C62" s="1148" t="str">
        <f>IF('Język - Language'!$B$30="Polski","TECHNOLOGIA","TECHNOLOGY")</f>
        <v>TECHNOLOGIA</v>
      </c>
      <c r="D62" s="288" t="s">
        <v>99</v>
      </c>
      <c r="E62" s="289"/>
      <c r="F62" s="313">
        <f>ROUND(F69*(1+0.3),-1)</f>
        <v>60</v>
      </c>
      <c r="G62" s="338">
        <v>72</v>
      </c>
      <c r="H62" s="313">
        <f>ROUND(H69*(1+0.3),-1)</f>
        <v>90</v>
      </c>
      <c r="I62" s="338">
        <v>108</v>
      </c>
      <c r="J62" s="313">
        <f>ROUND(J69*(1+0.3),-1)</f>
        <v>120</v>
      </c>
      <c r="K62" s="338">
        <v>144</v>
      </c>
      <c r="L62" s="313">
        <v>140</v>
      </c>
      <c r="M62" s="338">
        <v>168</v>
      </c>
      <c r="N62" s="313">
        <f>ROUND(N69*(1+0.3),-1)</f>
        <v>160</v>
      </c>
      <c r="O62" s="338">
        <v>192</v>
      </c>
      <c r="P62" s="361">
        <f>ROUND(P69*(1+0.3),-1)</f>
        <v>40</v>
      </c>
      <c r="Q62" s="392" t="s">
        <v>35</v>
      </c>
      <c r="R62" s="361">
        <f>ROUND(R69*(1+0.3),-1)</f>
        <v>60</v>
      </c>
      <c r="S62" s="400" t="s">
        <v>35</v>
      </c>
      <c r="T62" s="361" t="s">
        <v>35</v>
      </c>
      <c r="U62" s="400" t="s">
        <v>35</v>
      </c>
      <c r="V62" s="216"/>
      <c r="W62" s="216"/>
    </row>
    <row r="63" spans="1:28" s="218" customFormat="1" ht="12.75" hidden="1" customHeight="1" outlineLevel="1">
      <c r="B63" s="1116"/>
      <c r="C63" s="1082"/>
      <c r="D63" s="292" t="s">
        <v>101</v>
      </c>
      <c r="E63" s="293"/>
      <c r="F63" s="315">
        <f>ROUND(F69*(1+0.3),-1)</f>
        <v>60</v>
      </c>
      <c r="G63" s="339">
        <v>72</v>
      </c>
      <c r="H63" s="315">
        <f>ROUND(H69*(1+0.3),-1)</f>
        <v>90</v>
      </c>
      <c r="I63" s="339">
        <v>108</v>
      </c>
      <c r="J63" s="315">
        <f>ROUND(J69*(1+0.3),-1)</f>
        <v>120</v>
      </c>
      <c r="K63" s="339">
        <v>144</v>
      </c>
      <c r="L63" s="315">
        <v>140</v>
      </c>
      <c r="M63" s="339">
        <v>168</v>
      </c>
      <c r="N63" s="315">
        <f>ROUND(N69*(1+0.3),-1)</f>
        <v>160</v>
      </c>
      <c r="O63" s="339">
        <v>192</v>
      </c>
      <c r="P63" s="362">
        <f>ROUND(P69*(1+0.3),-1)</f>
        <v>40</v>
      </c>
      <c r="Q63" s="393" t="s">
        <v>35</v>
      </c>
      <c r="R63" s="362">
        <f>ROUND(R69*(1+0.3),-1)</f>
        <v>60</v>
      </c>
      <c r="S63" s="401" t="s">
        <v>35</v>
      </c>
      <c r="T63" s="362" t="s">
        <v>35</v>
      </c>
      <c r="U63" s="401" t="s">
        <v>35</v>
      </c>
      <c r="V63" s="216"/>
      <c r="W63" s="216"/>
    </row>
    <row r="64" spans="1:28" s="218" customFormat="1" ht="12.75" hidden="1" customHeight="1" outlineLevel="1">
      <c r="B64" s="1116"/>
      <c r="C64" s="1082"/>
      <c r="D64" s="292" t="s">
        <v>19</v>
      </c>
      <c r="E64" s="293"/>
      <c r="F64" s="315">
        <f>ROUND(F69*(1+0.3),-1)</f>
        <v>60</v>
      </c>
      <c r="G64" s="339">
        <v>72</v>
      </c>
      <c r="H64" s="315">
        <f>ROUND(H69*(1+0.3),-1)</f>
        <v>90</v>
      </c>
      <c r="I64" s="339">
        <v>108</v>
      </c>
      <c r="J64" s="315">
        <f>ROUND(J69*(1+0.3),-1)</f>
        <v>120</v>
      </c>
      <c r="K64" s="339">
        <v>144</v>
      </c>
      <c r="L64" s="315">
        <v>140</v>
      </c>
      <c r="M64" s="339">
        <v>168</v>
      </c>
      <c r="N64" s="315">
        <f>ROUND(N69*(1+0.3),-1)</f>
        <v>160</v>
      </c>
      <c r="O64" s="339">
        <v>192</v>
      </c>
      <c r="P64" s="362">
        <f>ROUND(P69*(1+0.3),-1)</f>
        <v>40</v>
      </c>
      <c r="Q64" s="393" t="s">
        <v>35</v>
      </c>
      <c r="R64" s="362">
        <f>ROUND(R69*(1+0.3),-1)</f>
        <v>60</v>
      </c>
      <c r="S64" s="401" t="s">
        <v>35</v>
      </c>
      <c r="T64" s="362" t="s">
        <v>35</v>
      </c>
      <c r="U64" s="401" t="s">
        <v>35</v>
      </c>
      <c r="V64" s="216"/>
      <c r="W64" s="216"/>
    </row>
    <row r="65" spans="1:28" s="218" customFormat="1" ht="12.75" hidden="1" customHeight="1" outlineLevel="1">
      <c r="B65" s="1116"/>
      <c r="C65" s="1082"/>
      <c r="D65" s="292" t="s">
        <v>17</v>
      </c>
      <c r="E65" s="293"/>
      <c r="F65" s="315">
        <f>ROUND(F69*(1+0.3),-1)</f>
        <v>60</v>
      </c>
      <c r="G65" s="339">
        <v>72</v>
      </c>
      <c r="H65" s="315">
        <f>ROUND(H69*(1+0.3),-1)</f>
        <v>90</v>
      </c>
      <c r="I65" s="339">
        <v>108</v>
      </c>
      <c r="J65" s="315">
        <f>ROUND(J69*(1+0.3),-1)</f>
        <v>120</v>
      </c>
      <c r="K65" s="339">
        <v>144</v>
      </c>
      <c r="L65" s="315">
        <v>140</v>
      </c>
      <c r="M65" s="339">
        <v>168</v>
      </c>
      <c r="N65" s="315">
        <f>ROUND(N69*(1+0.3),-1)</f>
        <v>160</v>
      </c>
      <c r="O65" s="339">
        <v>192</v>
      </c>
      <c r="P65" s="362">
        <f>ROUND(P69*(1+0.3),-1)</f>
        <v>40</v>
      </c>
      <c r="Q65" s="393" t="s">
        <v>35</v>
      </c>
      <c r="R65" s="362">
        <f>ROUND(R69*(1+0.3),-1)</f>
        <v>60</v>
      </c>
      <c r="S65" s="401" t="s">
        <v>35</v>
      </c>
      <c r="T65" s="362" t="s">
        <v>35</v>
      </c>
      <c r="U65" s="401" t="s">
        <v>35</v>
      </c>
      <c r="V65" s="216"/>
      <c r="W65" s="216"/>
    </row>
    <row r="66" spans="1:28" s="218" customFormat="1" ht="12.75" hidden="1" customHeight="1" outlineLevel="1">
      <c r="B66" s="1116"/>
      <c r="C66" s="1082"/>
      <c r="D66" s="292" t="s">
        <v>18</v>
      </c>
      <c r="E66" s="293"/>
      <c r="F66" s="315">
        <f>ROUND(F69*(1+0.3),-1)</f>
        <v>60</v>
      </c>
      <c r="G66" s="339">
        <v>72</v>
      </c>
      <c r="H66" s="315">
        <f>ROUND(H69*(1+0.3),-1)</f>
        <v>90</v>
      </c>
      <c r="I66" s="339">
        <v>108</v>
      </c>
      <c r="J66" s="315">
        <f>ROUND(J69*(1+0.3),-1)</f>
        <v>120</v>
      </c>
      <c r="K66" s="339">
        <v>144</v>
      </c>
      <c r="L66" s="315">
        <v>140</v>
      </c>
      <c r="M66" s="339">
        <v>168</v>
      </c>
      <c r="N66" s="315">
        <f>ROUND(N69*(1+0.3),-1)</f>
        <v>160</v>
      </c>
      <c r="O66" s="339">
        <v>192</v>
      </c>
      <c r="P66" s="362">
        <f>ROUND(P69*(1+0.3),-1)</f>
        <v>40</v>
      </c>
      <c r="Q66" s="393" t="s">
        <v>35</v>
      </c>
      <c r="R66" s="362">
        <f>ROUND(R69*(1+0.3),-1)</f>
        <v>60</v>
      </c>
      <c r="S66" s="401" t="s">
        <v>35</v>
      </c>
      <c r="T66" s="362" t="s">
        <v>35</v>
      </c>
      <c r="U66" s="401" t="s">
        <v>35</v>
      </c>
      <c r="V66" s="216"/>
      <c r="W66" s="216"/>
    </row>
    <row r="67" spans="1:28" s="218" customFormat="1" ht="12.75" hidden="1" customHeight="1" outlineLevel="1">
      <c r="B67" s="1116"/>
      <c r="C67" s="1082"/>
      <c r="D67" s="292" t="s">
        <v>353</v>
      </c>
      <c r="E67" s="293"/>
      <c r="F67" s="362">
        <f>ROUND(F69*(1+0.3),-1)</f>
        <v>60</v>
      </c>
      <c r="G67" s="365">
        <v>72</v>
      </c>
      <c r="H67" s="362">
        <f>ROUND(H69*(1+0.3),-1)</f>
        <v>90</v>
      </c>
      <c r="I67" s="365">
        <v>108</v>
      </c>
      <c r="J67" s="362">
        <f>ROUND(J69*(1+0.3),-1)</f>
        <v>120</v>
      </c>
      <c r="K67" s="365">
        <v>144</v>
      </c>
      <c r="L67" s="362">
        <v>140</v>
      </c>
      <c r="M67" s="365">
        <v>168</v>
      </c>
      <c r="N67" s="362">
        <f>ROUND(N69*(1+0.3),-1)</f>
        <v>160</v>
      </c>
      <c r="O67" s="365">
        <v>192</v>
      </c>
      <c r="P67" s="362">
        <f>ROUND(P69*(1+0.3),-1)</f>
        <v>40</v>
      </c>
      <c r="Q67" s="393" t="s">
        <v>35</v>
      </c>
      <c r="R67" s="362">
        <f>ROUND(R69*(1+0.3),-1)</f>
        <v>60</v>
      </c>
      <c r="S67" s="401" t="s">
        <v>35</v>
      </c>
      <c r="T67" s="362" t="s">
        <v>35</v>
      </c>
      <c r="U67" s="401" t="s">
        <v>35</v>
      </c>
      <c r="V67" s="216"/>
      <c r="W67" s="216"/>
    </row>
    <row r="68" spans="1:28" s="218" customFormat="1" ht="12.75" hidden="1" customHeight="1" outlineLevel="1">
      <c r="B68" s="1116"/>
      <c r="C68" s="1082"/>
      <c r="D68" s="290" t="s">
        <v>195</v>
      </c>
      <c r="E68" s="291"/>
      <c r="F68" s="505">
        <f>ROUND(F69*(1+0.3),-1)</f>
        <v>60</v>
      </c>
      <c r="G68" s="506">
        <v>72</v>
      </c>
      <c r="H68" s="505">
        <f>ROUND(H69*(1+0.3),-1)</f>
        <v>90</v>
      </c>
      <c r="I68" s="506">
        <v>108</v>
      </c>
      <c r="J68" s="505">
        <f>ROUND(J69*(1+0.3),-1)</f>
        <v>120</v>
      </c>
      <c r="K68" s="506">
        <v>144</v>
      </c>
      <c r="L68" s="505">
        <v>140</v>
      </c>
      <c r="M68" s="506">
        <v>168</v>
      </c>
      <c r="N68" s="505">
        <f>ROUND(N69*(1+0.3),-1)</f>
        <v>160</v>
      </c>
      <c r="O68" s="506">
        <v>192</v>
      </c>
      <c r="P68" s="505">
        <f>ROUND(P69*(1+0.3),-1)</f>
        <v>40</v>
      </c>
      <c r="Q68" s="394" t="s">
        <v>35</v>
      </c>
      <c r="R68" s="505">
        <f>ROUND(R69*(1+0.3),-1)</f>
        <v>60</v>
      </c>
      <c r="S68" s="402" t="s">
        <v>35</v>
      </c>
      <c r="T68" s="505" t="s">
        <v>35</v>
      </c>
      <c r="U68" s="402" t="s">
        <v>35</v>
      </c>
      <c r="V68" s="216"/>
      <c r="W68" s="216"/>
    </row>
    <row r="69" spans="1:28" s="79" customFormat="1" ht="36" customHeight="1" collapsed="1">
      <c r="A69" s="218"/>
      <c r="B69" s="1116"/>
      <c r="C69" s="1149"/>
      <c r="D69" s="1009" t="str">
        <f>D62&amp;", "&amp;D63&amp;", "&amp;D64&amp;", "&amp;D65&amp;", "&amp;D66&amp;", "&amp;D67&amp;", "&amp;D68</f>
        <v>WP Tech, WP Gry, WP Fotoblogia, WP Gadżetomania, WP Komórkomania, dobreprogramy.pl³, polygamia.pl</v>
      </c>
      <c r="E69" s="1010"/>
      <c r="F69" s="320">
        <v>45</v>
      </c>
      <c r="G69" s="333">
        <v>54</v>
      </c>
      <c r="H69" s="320">
        <v>68</v>
      </c>
      <c r="I69" s="333">
        <v>81</v>
      </c>
      <c r="J69" s="320">
        <v>90</v>
      </c>
      <c r="K69" s="333">
        <v>108</v>
      </c>
      <c r="L69" s="314">
        <v>105</v>
      </c>
      <c r="M69" s="334">
        <v>125</v>
      </c>
      <c r="N69" s="314">
        <v>120</v>
      </c>
      <c r="O69" s="333">
        <v>144</v>
      </c>
      <c r="P69" s="374">
        <v>34</v>
      </c>
      <c r="Q69" s="395" t="s">
        <v>35</v>
      </c>
      <c r="R69" s="378">
        <v>45</v>
      </c>
      <c r="S69" s="407" t="s">
        <v>35</v>
      </c>
      <c r="T69" s="378" t="s">
        <v>35</v>
      </c>
      <c r="U69" s="407" t="s">
        <v>35</v>
      </c>
      <c r="V69" s="216"/>
      <c r="W69" s="216"/>
      <c r="X69" s="218"/>
      <c r="Y69" s="218"/>
      <c r="Z69" s="218"/>
      <c r="AA69" s="218"/>
      <c r="AB69" s="218"/>
    </row>
    <row r="70" spans="1:28" s="218" customFormat="1" ht="12.75" hidden="1" customHeight="1" outlineLevel="1">
      <c r="B70" s="1116"/>
      <c r="C70" s="1150" t="str">
        <f>IF('Język - Language'!$B$30="Polski","ZDROWIE I PARENTING","HEALTH AND PARENTING")</f>
        <v>ZDROWIE I PARENTING</v>
      </c>
      <c r="D70" s="288" t="s">
        <v>20</v>
      </c>
      <c r="E70" s="289"/>
      <c r="F70" s="313">
        <f>ROUND(F75*(1+0.3),-1)</f>
        <v>110</v>
      </c>
      <c r="G70" s="338">
        <v>132</v>
      </c>
      <c r="H70" s="313">
        <f>ROUND(H75*(1+0.3),-1)</f>
        <v>160</v>
      </c>
      <c r="I70" s="338">
        <v>192</v>
      </c>
      <c r="J70" s="313">
        <f>ROUND(J75*(1+0.3),-1)</f>
        <v>210</v>
      </c>
      <c r="K70" s="338">
        <v>252</v>
      </c>
      <c r="L70" s="313">
        <v>240</v>
      </c>
      <c r="M70" s="338">
        <v>288</v>
      </c>
      <c r="N70" s="313">
        <f>ROUND(N75*(1+0.3),-1)</f>
        <v>270</v>
      </c>
      <c r="O70" s="338">
        <v>324</v>
      </c>
      <c r="P70" s="361">
        <f>ROUND(P75*(1+0.3),-1)</f>
        <v>80</v>
      </c>
      <c r="Q70" s="392" t="s">
        <v>35</v>
      </c>
      <c r="R70" s="361">
        <f>ROUND(R75*(1+0.3),-1)</f>
        <v>110</v>
      </c>
      <c r="S70" s="400" t="s">
        <v>35</v>
      </c>
      <c r="T70" s="361" t="s">
        <v>35</v>
      </c>
      <c r="U70" s="400" t="s">
        <v>35</v>
      </c>
      <c r="V70" s="216"/>
      <c r="W70" s="216"/>
    </row>
    <row r="71" spans="1:28" s="218" customFormat="1" ht="12.75" hidden="1" customHeight="1" outlineLevel="1">
      <c r="B71" s="1116"/>
      <c r="C71" s="1146"/>
      <c r="D71" s="292" t="s">
        <v>100</v>
      </c>
      <c r="E71" s="293"/>
      <c r="F71" s="315">
        <f>ROUND(F75*(1+0.3),-1)</f>
        <v>110</v>
      </c>
      <c r="G71" s="339">
        <v>132</v>
      </c>
      <c r="H71" s="315">
        <f>ROUND(H75*(1+0.3),-1)</f>
        <v>160</v>
      </c>
      <c r="I71" s="339">
        <v>192</v>
      </c>
      <c r="J71" s="315">
        <f>ROUND(J75*(1+0.3),-1)</f>
        <v>210</v>
      </c>
      <c r="K71" s="339">
        <v>252</v>
      </c>
      <c r="L71" s="315">
        <v>240</v>
      </c>
      <c r="M71" s="339">
        <v>288</v>
      </c>
      <c r="N71" s="315">
        <f>ROUND(N75*(1+0.3),-1)</f>
        <v>270</v>
      </c>
      <c r="O71" s="339">
        <v>324</v>
      </c>
      <c r="P71" s="362">
        <f>ROUND(P75*(1+0.3),-1)</f>
        <v>80</v>
      </c>
      <c r="Q71" s="393" t="s">
        <v>35</v>
      </c>
      <c r="R71" s="362">
        <f>ROUND(R75*(1+0.3),-1)</f>
        <v>110</v>
      </c>
      <c r="S71" s="401" t="s">
        <v>35</v>
      </c>
      <c r="T71" s="362" t="s">
        <v>35</v>
      </c>
      <c r="U71" s="401" t="s">
        <v>35</v>
      </c>
      <c r="V71" s="216"/>
      <c r="W71" s="216"/>
    </row>
    <row r="72" spans="1:28" s="218" customFormat="1" ht="12.75" hidden="1" customHeight="1" outlineLevel="1">
      <c r="B72" s="1116"/>
      <c r="C72" s="1146"/>
      <c r="D72" s="292" t="s">
        <v>21</v>
      </c>
      <c r="E72" s="293"/>
      <c r="F72" s="315">
        <f>ROUND(F75*(1+0.3),-1)</f>
        <v>110</v>
      </c>
      <c r="G72" s="339">
        <v>132</v>
      </c>
      <c r="H72" s="315">
        <f>ROUND(H75*(1+0.3),-1)</f>
        <v>160</v>
      </c>
      <c r="I72" s="339">
        <v>192</v>
      </c>
      <c r="J72" s="315">
        <f>ROUND(J75*(1+0.3),-1)</f>
        <v>210</v>
      </c>
      <c r="K72" s="339">
        <v>252</v>
      </c>
      <c r="L72" s="315">
        <v>240</v>
      </c>
      <c r="M72" s="339">
        <v>288</v>
      </c>
      <c r="N72" s="315">
        <f>ROUND(N75*(1+0.3),-1)</f>
        <v>270</v>
      </c>
      <c r="O72" s="339">
        <v>324</v>
      </c>
      <c r="P72" s="362">
        <f>ROUND(P75*(1+0.3),-1)</f>
        <v>80</v>
      </c>
      <c r="Q72" s="393" t="s">
        <v>35</v>
      </c>
      <c r="R72" s="362">
        <f>ROUND(R75*(1+0.3),-1)</f>
        <v>110</v>
      </c>
      <c r="S72" s="401" t="s">
        <v>35</v>
      </c>
      <c r="T72" s="362" t="s">
        <v>35</v>
      </c>
      <c r="U72" s="401" t="s">
        <v>35</v>
      </c>
      <c r="V72" s="216"/>
      <c r="W72" s="216"/>
    </row>
    <row r="73" spans="1:28" s="218" customFormat="1" ht="12.75" hidden="1" customHeight="1" outlineLevel="1">
      <c r="B73" s="1116"/>
      <c r="C73" s="1146"/>
      <c r="D73" s="292" t="s">
        <v>102</v>
      </c>
      <c r="E73" s="293"/>
      <c r="F73" s="315">
        <f>ROUND(F75*(1+0.3),-1)</f>
        <v>110</v>
      </c>
      <c r="G73" s="339">
        <v>132</v>
      </c>
      <c r="H73" s="315">
        <f>ROUND(H75*(1+0.3),-1)</f>
        <v>160</v>
      </c>
      <c r="I73" s="339">
        <v>192</v>
      </c>
      <c r="J73" s="315">
        <f>ROUND(J75*(1+0.3),-1)</f>
        <v>210</v>
      </c>
      <c r="K73" s="339">
        <v>252</v>
      </c>
      <c r="L73" s="315">
        <v>240</v>
      </c>
      <c r="M73" s="339">
        <v>288</v>
      </c>
      <c r="N73" s="315">
        <f>ROUND(N75*(1+0.3),-1)</f>
        <v>270</v>
      </c>
      <c r="O73" s="339">
        <v>324</v>
      </c>
      <c r="P73" s="362">
        <f>ROUND(P75*(1+0.3),-1)</f>
        <v>80</v>
      </c>
      <c r="Q73" s="393" t="s">
        <v>35</v>
      </c>
      <c r="R73" s="362">
        <f>ROUND(R75*(1+0.3),-1)</f>
        <v>110</v>
      </c>
      <c r="S73" s="401" t="s">
        <v>35</v>
      </c>
      <c r="T73" s="362" t="s">
        <v>35</v>
      </c>
      <c r="U73" s="401" t="s">
        <v>35</v>
      </c>
      <c r="V73" s="216"/>
      <c r="W73" s="216"/>
    </row>
    <row r="74" spans="1:28" s="218" customFormat="1" ht="12.75" hidden="1" customHeight="1" outlineLevel="1">
      <c r="B74" s="1116"/>
      <c r="C74" s="1146"/>
      <c r="D74" s="290" t="s">
        <v>103</v>
      </c>
      <c r="E74" s="291"/>
      <c r="F74" s="317">
        <f>ROUND(F75*(1+0.3),-1)</f>
        <v>110</v>
      </c>
      <c r="G74" s="340">
        <v>132</v>
      </c>
      <c r="H74" s="317">
        <f>ROUND(H75*(1+0.3),-1)</f>
        <v>160</v>
      </c>
      <c r="I74" s="340">
        <v>192</v>
      </c>
      <c r="J74" s="317">
        <f>ROUND(J75*(1+0.3),-1)</f>
        <v>210</v>
      </c>
      <c r="K74" s="340">
        <v>252</v>
      </c>
      <c r="L74" s="317">
        <v>240</v>
      </c>
      <c r="M74" s="340">
        <v>288</v>
      </c>
      <c r="N74" s="317">
        <f>ROUND(N75*(1+0.3),-1)</f>
        <v>270</v>
      </c>
      <c r="O74" s="340">
        <v>324</v>
      </c>
      <c r="P74" s="363">
        <f>ROUND(P75*(1+0.3),-1)</f>
        <v>80</v>
      </c>
      <c r="Q74" s="389" t="s">
        <v>35</v>
      </c>
      <c r="R74" s="363">
        <f>ROUND(R75*(1+0.3),-1)</f>
        <v>110</v>
      </c>
      <c r="S74" s="397" t="s">
        <v>35</v>
      </c>
      <c r="T74" s="363" t="s">
        <v>35</v>
      </c>
      <c r="U74" s="397" t="s">
        <v>35</v>
      </c>
      <c r="V74" s="216"/>
      <c r="W74" s="216"/>
    </row>
    <row r="75" spans="1:28" s="81" customFormat="1" ht="36" customHeight="1" collapsed="1">
      <c r="A75" s="218"/>
      <c r="B75" s="1116"/>
      <c r="C75" s="1147"/>
      <c r="D75" s="1159" t="str">
        <f>D70&amp;", "&amp;D71&amp;", "&amp;D72&amp;", "&amp;D73&amp;", "&amp;D74</f>
        <v>WP abcZdrowie, WP Fitness, WP Parenting, Medycyna24, Nerwica.com</v>
      </c>
      <c r="E75" s="1160"/>
      <c r="F75" s="309">
        <v>83</v>
      </c>
      <c r="G75" s="335">
        <v>99</v>
      </c>
      <c r="H75" s="309">
        <v>120</v>
      </c>
      <c r="I75" s="335">
        <v>144</v>
      </c>
      <c r="J75" s="309">
        <v>165</v>
      </c>
      <c r="K75" s="335">
        <v>198</v>
      </c>
      <c r="L75" s="322">
        <v>180</v>
      </c>
      <c r="M75" s="335">
        <v>220</v>
      </c>
      <c r="N75" s="322">
        <v>210</v>
      </c>
      <c r="O75" s="335">
        <v>252</v>
      </c>
      <c r="P75" s="374">
        <v>60</v>
      </c>
      <c r="Q75" s="395" t="s">
        <v>35</v>
      </c>
      <c r="R75" s="378">
        <v>83</v>
      </c>
      <c r="S75" s="408" t="s">
        <v>35</v>
      </c>
      <c r="T75" s="378" t="s">
        <v>35</v>
      </c>
      <c r="U75" s="408" t="s">
        <v>35</v>
      </c>
      <c r="V75" s="216"/>
      <c r="W75" s="216"/>
      <c r="X75" s="218"/>
      <c r="Y75" s="218"/>
      <c r="Z75" s="218"/>
      <c r="AA75" s="218"/>
      <c r="AB75" s="218"/>
    </row>
    <row r="76" spans="1:28" s="218" customFormat="1" ht="12.75" hidden="1" customHeight="1" outlineLevel="1">
      <c r="B76" s="1116"/>
      <c r="C76" s="1150" t="str">
        <f>IF('Język - Language'!$B$30="Polski","WIDEO I AUDIO","VIDEO AND AUDIO")</f>
        <v>WIDEO I AUDIO</v>
      </c>
      <c r="D76" s="296" t="s">
        <v>89</v>
      </c>
      <c r="E76" s="297"/>
      <c r="F76" s="311">
        <f>ROUND(F79*(1+0.3),-1)</f>
        <v>60</v>
      </c>
      <c r="G76" s="336">
        <v>72</v>
      </c>
      <c r="H76" s="311">
        <f>ROUND(H79*(1+0.3),-1)</f>
        <v>90</v>
      </c>
      <c r="I76" s="336">
        <v>108</v>
      </c>
      <c r="J76" s="311">
        <f>ROUND(J79*(1+0.3),-1)</f>
        <v>120</v>
      </c>
      <c r="K76" s="336">
        <v>144</v>
      </c>
      <c r="L76" s="311" t="s">
        <v>35</v>
      </c>
      <c r="M76" s="336" t="s">
        <v>35</v>
      </c>
      <c r="N76" s="311" t="s">
        <v>35</v>
      </c>
      <c r="O76" s="312" t="s">
        <v>35</v>
      </c>
      <c r="P76" s="350" t="s">
        <v>35</v>
      </c>
      <c r="Q76" s="392" t="s">
        <v>35</v>
      </c>
      <c r="R76" s="385" t="s">
        <v>35</v>
      </c>
      <c r="S76" s="410" t="s">
        <v>35</v>
      </c>
      <c r="T76" s="385" t="s">
        <v>35</v>
      </c>
      <c r="U76" s="410" t="s">
        <v>35</v>
      </c>
      <c r="V76" s="216"/>
      <c r="W76" s="216"/>
    </row>
    <row r="77" spans="1:28" s="218" customFormat="1" ht="12.75" hidden="1" customHeight="1" outlineLevel="1">
      <c r="B77" s="1116"/>
      <c r="C77" s="1146"/>
      <c r="D77" s="298" t="s">
        <v>95</v>
      </c>
      <c r="E77" s="299"/>
      <c r="F77" s="324">
        <f>ROUND(F79*(1+0.3),-1)</f>
        <v>60</v>
      </c>
      <c r="G77" s="341">
        <v>72</v>
      </c>
      <c r="H77" s="324">
        <f>ROUND(H79*(1+0.3),-1)</f>
        <v>90</v>
      </c>
      <c r="I77" s="341">
        <v>108</v>
      </c>
      <c r="J77" s="324">
        <f>ROUND(J79*(1+0.3),-1)</f>
        <v>120</v>
      </c>
      <c r="K77" s="341">
        <v>144</v>
      </c>
      <c r="L77" s="324">
        <v>140</v>
      </c>
      <c r="M77" s="341">
        <v>168</v>
      </c>
      <c r="N77" s="324" t="s">
        <v>35</v>
      </c>
      <c r="O77" s="325" t="s">
        <v>35</v>
      </c>
      <c r="P77" s="351" t="s">
        <v>35</v>
      </c>
      <c r="Q77" s="393" t="s">
        <v>35</v>
      </c>
      <c r="R77" s="386" t="s">
        <v>35</v>
      </c>
      <c r="S77" s="411" t="s">
        <v>35</v>
      </c>
      <c r="T77" s="386" t="s">
        <v>35</v>
      </c>
      <c r="U77" s="411" t="s">
        <v>35</v>
      </c>
      <c r="V77" s="216"/>
      <c r="W77" s="216"/>
    </row>
    <row r="78" spans="1:28" s="218" customFormat="1" ht="12.75" hidden="1" customHeight="1" outlineLevel="1">
      <c r="B78" s="1116"/>
      <c r="C78" s="1146"/>
      <c r="D78" s="294" t="s">
        <v>97</v>
      </c>
      <c r="E78" s="295"/>
      <c r="F78" s="326">
        <f>ROUND(F79*(1+0.3),-1)</f>
        <v>60</v>
      </c>
      <c r="G78" s="337">
        <v>72</v>
      </c>
      <c r="H78" s="326">
        <f>ROUND(H79*(1+0.3),-1)</f>
        <v>90</v>
      </c>
      <c r="I78" s="337">
        <v>108</v>
      </c>
      <c r="J78" s="326">
        <f>ROUND(J79*(1+0.3),-1)</f>
        <v>120</v>
      </c>
      <c r="K78" s="337">
        <v>144</v>
      </c>
      <c r="L78" s="326" t="s">
        <v>35</v>
      </c>
      <c r="M78" s="337" t="s">
        <v>35</v>
      </c>
      <c r="N78" s="326" t="s">
        <v>35</v>
      </c>
      <c r="O78" s="327" t="s">
        <v>35</v>
      </c>
      <c r="P78" s="384" t="s">
        <v>35</v>
      </c>
      <c r="Q78" s="394" t="s">
        <v>35</v>
      </c>
      <c r="R78" s="343" t="s">
        <v>35</v>
      </c>
      <c r="S78" s="412" t="s">
        <v>35</v>
      </c>
      <c r="T78" s="343" t="s">
        <v>35</v>
      </c>
      <c r="U78" s="412" t="s">
        <v>35</v>
      </c>
      <c r="V78" s="216"/>
      <c r="W78" s="216"/>
    </row>
    <row r="79" spans="1:28" s="186" customFormat="1" ht="36" customHeight="1" collapsed="1">
      <c r="A79" s="218"/>
      <c r="B79" s="1116"/>
      <c r="C79" s="1147"/>
      <c r="D79" s="1159" t="str">
        <f>D76&amp;", "&amp;D77&amp;", "&amp;D78</f>
        <v>WP Pilot, WP Wideo, OpenFM</v>
      </c>
      <c r="E79" s="1160"/>
      <c r="F79" s="309">
        <v>45</v>
      </c>
      <c r="G79" s="332">
        <v>54</v>
      </c>
      <c r="H79" s="309">
        <v>68</v>
      </c>
      <c r="I79" s="332">
        <v>81</v>
      </c>
      <c r="J79" s="309">
        <v>90</v>
      </c>
      <c r="K79" s="332">
        <v>108</v>
      </c>
      <c r="L79" s="314">
        <v>105</v>
      </c>
      <c r="M79" s="334">
        <v>125</v>
      </c>
      <c r="N79" s="322" t="s">
        <v>35</v>
      </c>
      <c r="O79" s="323" t="s">
        <v>35</v>
      </c>
      <c r="P79" s="374">
        <v>34</v>
      </c>
      <c r="Q79" s="388" t="s">
        <v>35</v>
      </c>
      <c r="R79" s="378">
        <v>45</v>
      </c>
      <c r="S79" s="409" t="s">
        <v>35</v>
      </c>
      <c r="T79" s="378" t="s">
        <v>35</v>
      </c>
      <c r="U79" s="409" t="s">
        <v>35</v>
      </c>
      <c r="V79" s="216"/>
      <c r="W79" s="216"/>
      <c r="X79" s="218"/>
      <c r="Y79" s="218"/>
      <c r="Z79" s="218"/>
      <c r="AA79" s="218"/>
      <c r="AB79" s="218"/>
    </row>
    <row r="80" spans="1:28" s="218" customFormat="1" ht="12.75" hidden="1" customHeight="1" outlineLevel="1">
      <c r="B80" s="1116"/>
      <c r="C80" s="1148" t="str">
        <f>IF('Język - Language'!$B$30="Polski","PAKIET SPECJALNY 'KOBIETA'","DEDICATED PACKAGE 'WOMAN'")</f>
        <v>PAKIET SPECJALNY 'KOBIETA'</v>
      </c>
      <c r="D80" s="296" t="s">
        <v>98</v>
      </c>
      <c r="E80" s="297"/>
      <c r="F80" s="311">
        <f>ROUND(F92*(1+0.3),-1)</f>
        <v>60</v>
      </c>
      <c r="G80" s="336">
        <v>72</v>
      </c>
      <c r="H80" s="311">
        <f>ROUND(H92*(1+0.3),-1)</f>
        <v>90</v>
      </c>
      <c r="I80" s="336">
        <v>108</v>
      </c>
      <c r="J80" s="311">
        <f>ROUND(J92*(1+0.3),-1)</f>
        <v>120</v>
      </c>
      <c r="K80" s="336">
        <v>144</v>
      </c>
      <c r="L80" s="350">
        <v>140</v>
      </c>
      <c r="M80" s="353">
        <v>168</v>
      </c>
      <c r="N80" s="311">
        <f>ROUND(N92*(1+0.3),-1)</f>
        <v>160</v>
      </c>
      <c r="O80" s="336">
        <v>192</v>
      </c>
      <c r="P80" s="350">
        <f>ROUND(P92*(1+0.3),-1)</f>
        <v>40</v>
      </c>
      <c r="Q80" s="392" t="s">
        <v>35</v>
      </c>
      <c r="R80" s="350">
        <f>ROUND(R92*(1+0.3),-1)</f>
        <v>60</v>
      </c>
      <c r="S80" s="410" t="s">
        <v>35</v>
      </c>
      <c r="T80" s="350" t="s">
        <v>35</v>
      </c>
      <c r="U80" s="410" t="s">
        <v>35</v>
      </c>
      <c r="V80" s="216"/>
      <c r="W80" s="216"/>
    </row>
    <row r="81" spans="2:23" s="218" customFormat="1" ht="12.75" hidden="1" customHeight="1" outlineLevel="1">
      <c r="B81" s="1116"/>
      <c r="C81" s="1082"/>
      <c r="D81" s="298" t="s">
        <v>27</v>
      </c>
      <c r="E81" s="299"/>
      <c r="F81" s="324">
        <f>ROUND(F92*(1+0.3),-1)</f>
        <v>60</v>
      </c>
      <c r="G81" s="341">
        <v>72</v>
      </c>
      <c r="H81" s="324">
        <f>ROUND(H92*(1+0.3),-1)</f>
        <v>90</v>
      </c>
      <c r="I81" s="341">
        <v>108</v>
      </c>
      <c r="J81" s="324">
        <f>ROUND(J92*(1+0.3),-1)</f>
        <v>120</v>
      </c>
      <c r="K81" s="341">
        <v>144</v>
      </c>
      <c r="L81" s="351">
        <v>140</v>
      </c>
      <c r="M81" s="355">
        <v>168</v>
      </c>
      <c r="N81" s="324">
        <f>ROUND(N92*(1+0.3),-1)</f>
        <v>160</v>
      </c>
      <c r="O81" s="341">
        <v>192</v>
      </c>
      <c r="P81" s="351">
        <f>ROUND(P92*(1+0.3),-1)</f>
        <v>40</v>
      </c>
      <c r="Q81" s="393" t="s">
        <v>35</v>
      </c>
      <c r="R81" s="351">
        <f>ROUND(R92*(1+0.3),-1)</f>
        <v>60</v>
      </c>
      <c r="S81" s="411" t="s">
        <v>35</v>
      </c>
      <c r="T81" s="351" t="s">
        <v>35</v>
      </c>
      <c r="U81" s="411" t="s">
        <v>35</v>
      </c>
      <c r="V81" s="216"/>
      <c r="W81" s="216"/>
    </row>
    <row r="82" spans="2:23" s="218" customFormat="1" ht="12.75" hidden="1" customHeight="1" outlineLevel="1">
      <c r="B82" s="1116"/>
      <c r="C82" s="1082"/>
      <c r="D82" s="298" t="s">
        <v>32</v>
      </c>
      <c r="E82" s="299"/>
      <c r="F82" s="324">
        <f>ROUND(F46*(1+1),-1)</f>
        <v>60</v>
      </c>
      <c r="G82" s="341">
        <v>72</v>
      </c>
      <c r="H82" s="324">
        <f>ROUND(H46*(1+1),-1)</f>
        <v>90</v>
      </c>
      <c r="I82" s="341">
        <v>108</v>
      </c>
      <c r="J82" s="324">
        <f>ROUND(J46*(1+1),-1)</f>
        <v>120</v>
      </c>
      <c r="K82" s="341">
        <v>144</v>
      </c>
      <c r="L82" s="349">
        <v>140</v>
      </c>
      <c r="M82" s="355">
        <v>168</v>
      </c>
      <c r="N82" s="308">
        <f>ROUND(N46*(1+1),-1)</f>
        <v>160</v>
      </c>
      <c r="O82" s="341">
        <v>192</v>
      </c>
      <c r="P82" s="349">
        <f>ROUND(P46*(1+1),-1)</f>
        <v>50</v>
      </c>
      <c r="Q82" s="393" t="s">
        <v>35</v>
      </c>
      <c r="R82" s="349">
        <f>ROUND(R46*(1+1),-1)</f>
        <v>60</v>
      </c>
      <c r="S82" s="411" t="s">
        <v>35</v>
      </c>
      <c r="T82" s="349" t="s">
        <v>35</v>
      </c>
      <c r="U82" s="411" t="s">
        <v>35</v>
      </c>
      <c r="V82" s="216"/>
      <c r="W82" s="216"/>
    </row>
    <row r="83" spans="2:23" s="218" customFormat="1" ht="12.75" hidden="1" customHeight="1" outlineLevel="1">
      <c r="B83" s="1116"/>
      <c r="C83" s="1082"/>
      <c r="D83" s="298" t="s">
        <v>137</v>
      </c>
      <c r="E83" s="299"/>
      <c r="F83" s="351">
        <f>ROUND(F61*(1+0.3),-1)</f>
        <v>60</v>
      </c>
      <c r="G83" s="355">
        <v>72</v>
      </c>
      <c r="H83" s="351">
        <f>ROUND(H61*(1+0.3),-1)</f>
        <v>90</v>
      </c>
      <c r="I83" s="355">
        <v>108</v>
      </c>
      <c r="J83" s="351">
        <f>ROUND(J61*(1+0.3),-1)</f>
        <v>120</v>
      </c>
      <c r="K83" s="355">
        <v>144</v>
      </c>
      <c r="L83" s="349">
        <v>140</v>
      </c>
      <c r="M83" s="355">
        <v>168</v>
      </c>
      <c r="N83" s="349">
        <f>ROUND(N61*(1+0.3),-1)</f>
        <v>160</v>
      </c>
      <c r="O83" s="355">
        <v>192</v>
      </c>
      <c r="P83" s="349">
        <f>ROUND(P61*(1+0.3),-1)</f>
        <v>40</v>
      </c>
      <c r="Q83" s="393" t="s">
        <v>35</v>
      </c>
      <c r="R83" s="349">
        <f>ROUND(R61*(1+0.3),-1)</f>
        <v>60</v>
      </c>
      <c r="S83" s="411" t="s">
        <v>35</v>
      </c>
      <c r="T83" s="349" t="s">
        <v>35</v>
      </c>
      <c r="U83" s="411" t="s">
        <v>35</v>
      </c>
      <c r="V83" s="216"/>
      <c r="W83" s="216"/>
    </row>
    <row r="84" spans="2:23" s="218" customFormat="1" ht="12.75" hidden="1" customHeight="1" outlineLevel="1">
      <c r="B84" s="1116"/>
      <c r="C84" s="1082"/>
      <c r="D84" s="298" t="s">
        <v>39</v>
      </c>
      <c r="E84" s="299"/>
      <c r="F84" s="324">
        <f>ROUND(F46*(1+0.3),-1)</f>
        <v>40</v>
      </c>
      <c r="G84" s="341">
        <v>48</v>
      </c>
      <c r="H84" s="324">
        <f>ROUND(H46*(1+0.3),-1)</f>
        <v>60</v>
      </c>
      <c r="I84" s="341">
        <v>72</v>
      </c>
      <c r="J84" s="324">
        <f>ROUND(J46*(1+0.3),-1)</f>
        <v>80</v>
      </c>
      <c r="K84" s="341">
        <v>96</v>
      </c>
      <c r="L84" s="351">
        <v>90</v>
      </c>
      <c r="M84" s="355">
        <v>108</v>
      </c>
      <c r="N84" s="324">
        <f>ROUND(N46*(1+0.3),-1)</f>
        <v>100</v>
      </c>
      <c r="O84" s="341">
        <v>120</v>
      </c>
      <c r="P84" s="351">
        <f>ROUND(P46*(1+0.3),-1)</f>
        <v>30</v>
      </c>
      <c r="Q84" s="393" t="s">
        <v>35</v>
      </c>
      <c r="R84" s="351">
        <f>ROUND(R46*(1+0.3),-1)</f>
        <v>40</v>
      </c>
      <c r="S84" s="411" t="s">
        <v>35</v>
      </c>
      <c r="T84" s="351" t="s">
        <v>35</v>
      </c>
      <c r="U84" s="411" t="s">
        <v>35</v>
      </c>
      <c r="V84" s="216"/>
      <c r="W84" s="216"/>
    </row>
    <row r="85" spans="2:23" s="218" customFormat="1" ht="12.75" hidden="1" customHeight="1" outlineLevel="1">
      <c r="B85" s="1116"/>
      <c r="C85" s="1082"/>
      <c r="D85" s="298" t="s">
        <v>29</v>
      </c>
      <c r="E85" s="299"/>
      <c r="F85" s="324">
        <f>ROUND(F61*(1+0.3),-1)</f>
        <v>60</v>
      </c>
      <c r="G85" s="341">
        <v>72</v>
      </c>
      <c r="H85" s="324">
        <f>ROUND(H61*(1+0.3),-1)</f>
        <v>90</v>
      </c>
      <c r="I85" s="341">
        <v>108</v>
      </c>
      <c r="J85" s="324">
        <f>ROUND(J61*(1+0.3),-1)</f>
        <v>120</v>
      </c>
      <c r="K85" s="341">
        <v>144</v>
      </c>
      <c r="L85" s="351">
        <v>140</v>
      </c>
      <c r="M85" s="355">
        <v>168</v>
      </c>
      <c r="N85" s="324">
        <f>ROUND(N61*(1+0.3),-1)</f>
        <v>160</v>
      </c>
      <c r="O85" s="341">
        <v>192</v>
      </c>
      <c r="P85" s="351">
        <f>ROUND(P61*(1+0.3),-1)</f>
        <v>40</v>
      </c>
      <c r="Q85" s="393" t="s">
        <v>35</v>
      </c>
      <c r="R85" s="351">
        <f>ROUND(R61*(1+0.3),-1)</f>
        <v>60</v>
      </c>
      <c r="S85" s="411" t="s">
        <v>35</v>
      </c>
      <c r="T85" s="351" t="s">
        <v>35</v>
      </c>
      <c r="U85" s="411" t="s">
        <v>35</v>
      </c>
      <c r="V85" s="216"/>
      <c r="W85" s="216"/>
    </row>
    <row r="86" spans="2:23" s="218" customFormat="1" ht="12.75" hidden="1" customHeight="1" outlineLevel="1">
      <c r="B86" s="1116"/>
      <c r="C86" s="1082"/>
      <c r="D86" s="298" t="s">
        <v>100</v>
      </c>
      <c r="E86" s="299"/>
      <c r="F86" s="324">
        <f>ROUND(F75*(1+0.3),-1)</f>
        <v>110</v>
      </c>
      <c r="G86" s="341">
        <v>132</v>
      </c>
      <c r="H86" s="324">
        <f>ROUND(H75*(1+0.3),-1)</f>
        <v>160</v>
      </c>
      <c r="I86" s="341">
        <v>192</v>
      </c>
      <c r="J86" s="324">
        <f>ROUND(J75*(1+0.3),-1)</f>
        <v>210</v>
      </c>
      <c r="K86" s="341">
        <v>252</v>
      </c>
      <c r="L86" s="351">
        <v>240</v>
      </c>
      <c r="M86" s="355">
        <v>288</v>
      </c>
      <c r="N86" s="324">
        <f>ROUND(N75*(1+0.3),-1)</f>
        <v>270</v>
      </c>
      <c r="O86" s="341">
        <v>324</v>
      </c>
      <c r="P86" s="351">
        <f>ROUND(P75*(1+0.3),-1)</f>
        <v>80</v>
      </c>
      <c r="Q86" s="393" t="s">
        <v>35</v>
      </c>
      <c r="R86" s="351">
        <f>ROUND(R75*(1+0.3),-1)</f>
        <v>110</v>
      </c>
      <c r="S86" s="411" t="s">
        <v>35</v>
      </c>
      <c r="T86" s="351" t="s">
        <v>35</v>
      </c>
      <c r="U86" s="411" t="s">
        <v>35</v>
      </c>
      <c r="V86" s="216"/>
      <c r="W86" s="216"/>
    </row>
    <row r="87" spans="2:23" s="218" customFormat="1" ht="12.75" hidden="1" customHeight="1" outlineLevel="1">
      <c r="B87" s="1116"/>
      <c r="C87" s="1082"/>
      <c r="D87" s="298" t="s">
        <v>20</v>
      </c>
      <c r="E87" s="299"/>
      <c r="F87" s="324">
        <f>ROUND(F75*(1+0.3),-1)</f>
        <v>110</v>
      </c>
      <c r="G87" s="341">
        <v>132</v>
      </c>
      <c r="H87" s="324">
        <f>ROUND(H75*(1+0.3),-1)</f>
        <v>160</v>
      </c>
      <c r="I87" s="341">
        <v>192</v>
      </c>
      <c r="J87" s="324">
        <f>ROUND(J75*(1+0.3),-1)</f>
        <v>210</v>
      </c>
      <c r="K87" s="341">
        <v>252</v>
      </c>
      <c r="L87" s="351">
        <v>240</v>
      </c>
      <c r="M87" s="355">
        <v>288</v>
      </c>
      <c r="N87" s="324">
        <f>ROUND(N75*(1+0.3),-1)</f>
        <v>270</v>
      </c>
      <c r="O87" s="341">
        <v>324</v>
      </c>
      <c r="P87" s="351">
        <f>ROUND(P75*(1+0.3),-1)</f>
        <v>80</v>
      </c>
      <c r="Q87" s="393" t="s">
        <v>35</v>
      </c>
      <c r="R87" s="351">
        <f>ROUND(R75*(1+0.3),-1)</f>
        <v>110</v>
      </c>
      <c r="S87" s="411" t="s">
        <v>35</v>
      </c>
      <c r="T87" s="351" t="s">
        <v>35</v>
      </c>
      <c r="U87" s="411" t="s">
        <v>35</v>
      </c>
      <c r="V87" s="216"/>
      <c r="W87" s="216"/>
    </row>
    <row r="88" spans="2:23" s="218" customFormat="1" ht="12.75" hidden="1" customHeight="1" outlineLevel="1">
      <c r="B88" s="1116"/>
      <c r="C88" s="1082"/>
      <c r="D88" s="298" t="s">
        <v>21</v>
      </c>
      <c r="E88" s="299"/>
      <c r="F88" s="324">
        <f>ROUND(F75*(1+0.3),-1)</f>
        <v>110</v>
      </c>
      <c r="G88" s="341">
        <v>132</v>
      </c>
      <c r="H88" s="324">
        <f>ROUND(H75*(1+0.3),-1)</f>
        <v>160</v>
      </c>
      <c r="I88" s="341">
        <v>192</v>
      </c>
      <c r="J88" s="324">
        <f>ROUND(J75*(1+0.3),-1)</f>
        <v>210</v>
      </c>
      <c r="K88" s="341">
        <v>252</v>
      </c>
      <c r="L88" s="351">
        <v>240</v>
      </c>
      <c r="M88" s="355">
        <v>288</v>
      </c>
      <c r="N88" s="324">
        <f>ROUND(N75*(1+0.3),-1)</f>
        <v>270</v>
      </c>
      <c r="O88" s="341">
        <v>324</v>
      </c>
      <c r="P88" s="351">
        <f>ROUND(P75*(1+0.3),-1)</f>
        <v>80</v>
      </c>
      <c r="Q88" s="393" t="s">
        <v>35</v>
      </c>
      <c r="R88" s="351">
        <f>ROUND(R75*(1+0.3),-1)</f>
        <v>110</v>
      </c>
      <c r="S88" s="411" t="s">
        <v>35</v>
      </c>
      <c r="T88" s="351" t="s">
        <v>35</v>
      </c>
      <c r="U88" s="411" t="s">
        <v>35</v>
      </c>
      <c r="V88" s="216"/>
      <c r="W88" s="216"/>
    </row>
    <row r="89" spans="2:23" s="218" customFormat="1" ht="12.75" hidden="1" customHeight="1" outlineLevel="1">
      <c r="B89" s="1116"/>
      <c r="C89" s="1082"/>
      <c r="D89" s="298" t="s">
        <v>89</v>
      </c>
      <c r="E89" s="299"/>
      <c r="F89" s="351">
        <f>ROUND(F79*(1+0.3),-1)</f>
        <v>60</v>
      </c>
      <c r="G89" s="355">
        <v>72</v>
      </c>
      <c r="H89" s="351">
        <f>ROUND(H79*(1+0.3),-1)</f>
        <v>90</v>
      </c>
      <c r="I89" s="355">
        <v>108</v>
      </c>
      <c r="J89" s="351">
        <f>ROUND(J79*(1+0.3),-1)</f>
        <v>120</v>
      </c>
      <c r="K89" s="355">
        <v>144</v>
      </c>
      <c r="L89" s="351" t="s">
        <v>35</v>
      </c>
      <c r="M89" s="355" t="s">
        <v>35</v>
      </c>
      <c r="N89" s="351" t="s">
        <v>35</v>
      </c>
      <c r="O89" s="355" t="s">
        <v>35</v>
      </c>
      <c r="P89" s="351" t="s">
        <v>35</v>
      </c>
      <c r="Q89" s="393"/>
      <c r="R89" s="351" t="s">
        <v>35</v>
      </c>
      <c r="S89" s="411"/>
      <c r="T89" s="351" t="s">
        <v>35</v>
      </c>
      <c r="U89" s="411"/>
      <c r="V89" s="216"/>
      <c r="W89" s="216"/>
    </row>
    <row r="90" spans="2:23" s="218" customFormat="1" ht="12.75" hidden="1" customHeight="1" outlineLevel="1">
      <c r="B90" s="1116"/>
      <c r="C90" s="1082"/>
      <c r="D90" s="298" t="s">
        <v>94</v>
      </c>
      <c r="E90" s="299"/>
      <c r="F90" s="324">
        <f>ROUND(F46*(1+0.3),-1)</f>
        <v>40</v>
      </c>
      <c r="G90" s="341">
        <v>48</v>
      </c>
      <c r="H90" s="324">
        <f>ROUND(H46*(1+0.3),-1)</f>
        <v>60</v>
      </c>
      <c r="I90" s="341">
        <v>72</v>
      </c>
      <c r="J90" s="324">
        <f>ROUND(J46*(1+0.3),-1)</f>
        <v>80</v>
      </c>
      <c r="K90" s="341">
        <v>96</v>
      </c>
      <c r="L90" s="351">
        <v>90</v>
      </c>
      <c r="M90" s="355">
        <v>108</v>
      </c>
      <c r="N90" s="324">
        <f>ROUND(N46*(1+0.3),-1)</f>
        <v>100</v>
      </c>
      <c r="O90" s="341">
        <v>120</v>
      </c>
      <c r="P90" s="351">
        <f>ROUND(P46*(1+0.3),-1)</f>
        <v>30</v>
      </c>
      <c r="Q90" s="393" t="s">
        <v>35</v>
      </c>
      <c r="R90" s="351">
        <f>ROUND(R46*(1+0.3),-1)</f>
        <v>40</v>
      </c>
      <c r="S90" s="411" t="s">
        <v>35</v>
      </c>
      <c r="T90" s="351" t="s">
        <v>35</v>
      </c>
      <c r="U90" s="411" t="s">
        <v>35</v>
      </c>
      <c r="V90" s="216"/>
      <c r="W90" s="216"/>
    </row>
    <row r="91" spans="2:23" s="218" customFormat="1" ht="12.75" hidden="1" customHeight="1" outlineLevel="1">
      <c r="B91" s="1116"/>
      <c r="C91" s="1082"/>
      <c r="D91" s="294" t="s">
        <v>28</v>
      </c>
      <c r="E91" s="295"/>
      <c r="F91" s="326">
        <f>ROUND(F46*(1+0.3),-1)</f>
        <v>40</v>
      </c>
      <c r="G91" s="337">
        <v>48</v>
      </c>
      <c r="H91" s="326">
        <f>ROUND(H46*(1+0.3),-1)</f>
        <v>60</v>
      </c>
      <c r="I91" s="337">
        <v>72</v>
      </c>
      <c r="J91" s="326">
        <f>ROUND(J46*(1+0.3),-1)</f>
        <v>80</v>
      </c>
      <c r="K91" s="337">
        <v>96</v>
      </c>
      <c r="L91" s="352">
        <v>90</v>
      </c>
      <c r="M91" s="354">
        <v>108</v>
      </c>
      <c r="N91" s="326">
        <f>ROUND(N46*(1+0.3),-1)</f>
        <v>100</v>
      </c>
      <c r="O91" s="337">
        <v>120</v>
      </c>
      <c r="P91" s="352">
        <f>ROUND(P46*(1+0.3),-1)</f>
        <v>30</v>
      </c>
      <c r="Q91" s="394" t="s">
        <v>35</v>
      </c>
      <c r="R91" s="352">
        <f>ROUND(R46*(1+0.3),-1)</f>
        <v>40</v>
      </c>
      <c r="S91" s="412" t="s">
        <v>35</v>
      </c>
      <c r="T91" s="352" t="s">
        <v>35</v>
      </c>
      <c r="U91" s="412" t="s">
        <v>35</v>
      </c>
      <c r="V91" s="216"/>
      <c r="W91" s="216"/>
    </row>
    <row r="92" spans="2:23" s="218" customFormat="1" ht="42" customHeight="1" collapsed="1">
      <c r="B92" s="1116"/>
      <c r="C92" s="1149"/>
      <c r="D92" s="1009" t="str">
        <f>D80&amp;", "&amp;D81&amp;", "&amp;D82&amp;", "&amp;D83&amp;", "&amp;D84&amp;", "&amp;D85&amp;", "&amp;D86&amp;", "&amp;D87&amp;", "&amp;D88&amp;", "&amp;D89&amp;", "&amp;D90&amp;", "&amp;D91</f>
        <v>Kafeteria.pl, WP Kobieta, Pudelek, WP Dom, WP Gwiazdy, WP Kuchnia, WP Fitness, WP abcZdrowie, WP Parenting, WP Pilot, WP Teleshow, WP Książki</v>
      </c>
      <c r="E92" s="1010"/>
      <c r="F92" s="320">
        <v>45</v>
      </c>
      <c r="G92" s="334">
        <v>54</v>
      </c>
      <c r="H92" s="320">
        <v>68</v>
      </c>
      <c r="I92" s="334">
        <v>81</v>
      </c>
      <c r="J92" s="320">
        <v>90</v>
      </c>
      <c r="K92" s="334">
        <v>108</v>
      </c>
      <c r="L92" s="314">
        <v>105</v>
      </c>
      <c r="M92" s="334">
        <v>125</v>
      </c>
      <c r="N92" s="314">
        <v>120</v>
      </c>
      <c r="O92" s="333">
        <v>144</v>
      </c>
      <c r="P92" s="377">
        <v>34</v>
      </c>
      <c r="Q92" s="395" t="s">
        <v>35</v>
      </c>
      <c r="R92" s="378">
        <v>45</v>
      </c>
      <c r="S92" s="408" t="s">
        <v>35</v>
      </c>
      <c r="T92" s="378" t="s">
        <v>35</v>
      </c>
      <c r="U92" s="408" t="s">
        <v>35</v>
      </c>
      <c r="V92" s="216"/>
      <c r="W92" s="216"/>
    </row>
    <row r="93" spans="2:23" s="218" customFormat="1" ht="12.75" hidden="1" customHeight="1" outlineLevel="1">
      <c r="B93" s="1116"/>
      <c r="C93" s="1148" t="str">
        <f>IF('Język - Language'!$B$30="Polski","PAKIET SPECJALNY 'MĘŻCZYZNA'","DEDICATED PACKAGE 'MAN'")</f>
        <v>PAKIET SPECJALNY 'MĘŻCZYZNA'</v>
      </c>
      <c r="D93" s="288" t="s">
        <v>13</v>
      </c>
      <c r="E93" s="289"/>
      <c r="F93" s="313">
        <f>ROUND(F29*(1+0.3),-1)</f>
        <v>70</v>
      </c>
      <c r="G93" s="338">
        <v>84</v>
      </c>
      <c r="H93" s="313">
        <f>ROUND(H29*(1+0.3),-1)</f>
        <v>100</v>
      </c>
      <c r="I93" s="338">
        <v>120</v>
      </c>
      <c r="J93" s="313">
        <f>ROUND(J29*(1+0.3),-1)</f>
        <v>140</v>
      </c>
      <c r="K93" s="338">
        <v>168</v>
      </c>
      <c r="L93" s="361">
        <v>160</v>
      </c>
      <c r="M93" s="364">
        <v>192</v>
      </c>
      <c r="N93" s="313">
        <f>ROUND(N29*(1+0.3),-1)</f>
        <v>190</v>
      </c>
      <c r="O93" s="338">
        <v>228</v>
      </c>
      <c r="P93" s="361">
        <f>ROUND(P29*(1+0.3),-1)</f>
        <v>50</v>
      </c>
      <c r="Q93" s="392" t="s">
        <v>35</v>
      </c>
      <c r="R93" s="361">
        <f>ROUND(R29*(1+0.3),-1)</f>
        <v>70</v>
      </c>
      <c r="S93" s="410" t="s">
        <v>35</v>
      </c>
      <c r="T93" s="361" t="s">
        <v>35</v>
      </c>
      <c r="U93" s="410" t="s">
        <v>35</v>
      </c>
      <c r="V93" s="216"/>
      <c r="W93" s="216"/>
    </row>
    <row r="94" spans="2:23" s="218" customFormat="1" ht="12.75" hidden="1" customHeight="1" outlineLevel="1">
      <c r="B94" s="1116"/>
      <c r="C94" s="1082"/>
      <c r="D94" s="292" t="s">
        <v>30</v>
      </c>
      <c r="E94" s="293"/>
      <c r="F94" s="315">
        <f>ROUND(F61*(1+0.3),-1)</f>
        <v>60</v>
      </c>
      <c r="G94" s="339">
        <v>72</v>
      </c>
      <c r="H94" s="315">
        <f>ROUND(H61*(1+0.3),-1)</f>
        <v>90</v>
      </c>
      <c r="I94" s="339">
        <v>108</v>
      </c>
      <c r="J94" s="315">
        <f>ROUND(J61*(1+0.3),-1)</f>
        <v>120</v>
      </c>
      <c r="K94" s="339">
        <v>144</v>
      </c>
      <c r="L94" s="362">
        <v>140</v>
      </c>
      <c r="M94" s="365">
        <v>168</v>
      </c>
      <c r="N94" s="315">
        <f>ROUND(N61*(1+0.3),-1)</f>
        <v>160</v>
      </c>
      <c r="O94" s="339">
        <v>192</v>
      </c>
      <c r="P94" s="362">
        <f>ROUND(P61*(1+0.3),-1)</f>
        <v>40</v>
      </c>
      <c r="Q94" s="393" t="s">
        <v>35</v>
      </c>
      <c r="R94" s="362">
        <f>ROUND(R61*(1+0.3),-1)</f>
        <v>60</v>
      </c>
      <c r="S94" s="411" t="s">
        <v>35</v>
      </c>
      <c r="T94" s="362" t="s">
        <v>35</v>
      </c>
      <c r="U94" s="411" t="s">
        <v>35</v>
      </c>
      <c r="V94" s="216"/>
      <c r="W94" s="216"/>
    </row>
    <row r="95" spans="2:23" s="218" customFormat="1" ht="12.75" hidden="1" customHeight="1" outlineLevel="1">
      <c r="B95" s="1116"/>
      <c r="C95" s="1082"/>
      <c r="D95" s="292" t="s">
        <v>137</v>
      </c>
      <c r="E95" s="293"/>
      <c r="F95" s="362">
        <f>ROUND(F61*(1+0.3),-1)</f>
        <v>60</v>
      </c>
      <c r="G95" s="365">
        <v>72</v>
      </c>
      <c r="H95" s="362">
        <f>ROUND(H61*(1+0.3),-1)</f>
        <v>90</v>
      </c>
      <c r="I95" s="365">
        <v>108</v>
      </c>
      <c r="J95" s="362">
        <f>ROUND(J61*(1+0.3),-1)</f>
        <v>120</v>
      </c>
      <c r="K95" s="365">
        <v>144</v>
      </c>
      <c r="L95" s="362">
        <v>140</v>
      </c>
      <c r="M95" s="365">
        <v>168</v>
      </c>
      <c r="N95" s="362">
        <f>ROUND(N61*(1+0.3),-1)</f>
        <v>160</v>
      </c>
      <c r="O95" s="365">
        <v>192</v>
      </c>
      <c r="P95" s="362">
        <f>ROUND(P61*(1+0.3),-1)</f>
        <v>40</v>
      </c>
      <c r="Q95" s="393" t="s">
        <v>35</v>
      </c>
      <c r="R95" s="362">
        <f>ROUND(R61*(1+0.3),-1)</f>
        <v>60</v>
      </c>
      <c r="S95" s="411" t="s">
        <v>35</v>
      </c>
      <c r="T95" s="362" t="s">
        <v>35</v>
      </c>
      <c r="U95" s="411" t="s">
        <v>35</v>
      </c>
      <c r="V95" s="216"/>
      <c r="W95" s="216"/>
    </row>
    <row r="96" spans="2:23" s="218" customFormat="1" ht="12.75" hidden="1" customHeight="1" outlineLevel="1">
      <c r="B96" s="1116"/>
      <c r="C96" s="1082"/>
      <c r="D96" s="292" t="s">
        <v>23</v>
      </c>
      <c r="E96" s="293"/>
      <c r="F96" s="315">
        <f>ROUND(F33*(1+0.3),-1)</f>
        <v>60</v>
      </c>
      <c r="G96" s="339">
        <v>72</v>
      </c>
      <c r="H96" s="315">
        <f>ROUND(H33*(1+0.3),-1)</f>
        <v>90</v>
      </c>
      <c r="I96" s="339">
        <v>108</v>
      </c>
      <c r="J96" s="315">
        <f>ROUND(J33*(1+0.3),-1)</f>
        <v>120</v>
      </c>
      <c r="K96" s="339">
        <v>144</v>
      </c>
      <c r="L96" s="362">
        <v>140</v>
      </c>
      <c r="M96" s="365">
        <v>168</v>
      </c>
      <c r="N96" s="315">
        <f>ROUND(N33*(1+0.3),-1)</f>
        <v>160</v>
      </c>
      <c r="O96" s="339">
        <v>192</v>
      </c>
      <c r="P96" s="362">
        <f>ROUND(P33*(1+0.3),-1)</f>
        <v>40</v>
      </c>
      <c r="Q96" s="393" t="s">
        <v>35</v>
      </c>
      <c r="R96" s="362">
        <f>ROUND(R33*(1+0.3),-1)</f>
        <v>60</v>
      </c>
      <c r="S96" s="411" t="s">
        <v>35</v>
      </c>
      <c r="T96" s="362" t="s">
        <v>35</v>
      </c>
      <c r="U96" s="411" t="s">
        <v>35</v>
      </c>
      <c r="V96" s="216"/>
      <c r="W96" s="216"/>
    </row>
    <row r="97" spans="1:28" s="218" customFormat="1" ht="12.75" hidden="1" customHeight="1" outlineLevel="1">
      <c r="B97" s="1116"/>
      <c r="C97" s="1082"/>
      <c r="D97" s="292" t="s">
        <v>99</v>
      </c>
      <c r="E97" s="293"/>
      <c r="F97" s="315">
        <f>ROUND(F69*(1+0.3),-1)</f>
        <v>60</v>
      </c>
      <c r="G97" s="339">
        <v>72</v>
      </c>
      <c r="H97" s="315">
        <f>ROUND(H69*(1+0.3),-1)</f>
        <v>90</v>
      </c>
      <c r="I97" s="339">
        <v>108</v>
      </c>
      <c r="J97" s="315">
        <f>ROUND(J69*(1+0.3),-1)</f>
        <v>120</v>
      </c>
      <c r="K97" s="339">
        <v>144</v>
      </c>
      <c r="L97" s="362">
        <v>140</v>
      </c>
      <c r="M97" s="365">
        <v>168</v>
      </c>
      <c r="N97" s="315">
        <f>ROUND(N69*(1+0.3),-1)</f>
        <v>160</v>
      </c>
      <c r="O97" s="339">
        <v>192</v>
      </c>
      <c r="P97" s="362">
        <f>ROUND(P69*(1+0.3),-1)</f>
        <v>40</v>
      </c>
      <c r="Q97" s="393" t="s">
        <v>35</v>
      </c>
      <c r="R97" s="362">
        <f>ROUND(R69*(1+0.3),-1)</f>
        <v>60</v>
      </c>
      <c r="S97" s="411" t="s">
        <v>35</v>
      </c>
      <c r="T97" s="362" t="s">
        <v>35</v>
      </c>
      <c r="U97" s="411" t="s">
        <v>35</v>
      </c>
      <c r="V97" s="216"/>
      <c r="W97" s="216"/>
    </row>
    <row r="98" spans="1:28" s="218" customFormat="1" ht="12.75" hidden="1" customHeight="1" outlineLevel="1">
      <c r="B98" s="1116"/>
      <c r="C98" s="1082"/>
      <c r="D98" s="292" t="s">
        <v>16</v>
      </c>
      <c r="E98" s="293"/>
      <c r="F98" s="315">
        <f>ROUND(F33*(1+0.3),-1)</f>
        <v>60</v>
      </c>
      <c r="G98" s="339">
        <v>72</v>
      </c>
      <c r="H98" s="315">
        <f>ROUND(H33*(1+0.3),-1)</f>
        <v>90</v>
      </c>
      <c r="I98" s="339">
        <v>108</v>
      </c>
      <c r="J98" s="315">
        <f>ROUND(J33*(1+0.3),-1)</f>
        <v>120</v>
      </c>
      <c r="K98" s="339">
        <v>144</v>
      </c>
      <c r="L98" s="362">
        <v>140</v>
      </c>
      <c r="M98" s="365">
        <v>168</v>
      </c>
      <c r="N98" s="315">
        <f>ROUND(N33*(1+0.3),-1)</f>
        <v>160</v>
      </c>
      <c r="O98" s="339">
        <v>192</v>
      </c>
      <c r="P98" s="362">
        <f>ROUND(P33*(1+0.3),-1)</f>
        <v>40</v>
      </c>
      <c r="Q98" s="393" t="s">
        <v>35</v>
      </c>
      <c r="R98" s="362">
        <f>ROUND(R33*(1+0.3),-1)</f>
        <v>60</v>
      </c>
      <c r="S98" s="411" t="s">
        <v>35</v>
      </c>
      <c r="T98" s="362" t="s">
        <v>35</v>
      </c>
      <c r="U98" s="411" t="s">
        <v>35</v>
      </c>
      <c r="V98" s="216"/>
      <c r="W98" s="216"/>
    </row>
    <row r="99" spans="1:28" s="218" customFormat="1" ht="12.75" hidden="1" customHeight="1" outlineLevel="1">
      <c r="B99" s="1116"/>
      <c r="C99" s="1082"/>
      <c r="D99" s="292" t="s">
        <v>19</v>
      </c>
      <c r="E99" s="293"/>
      <c r="F99" s="315">
        <f>ROUND(F69*(1+0.3),-1)</f>
        <v>60</v>
      </c>
      <c r="G99" s="339">
        <v>72</v>
      </c>
      <c r="H99" s="315">
        <f>ROUND(H69*(1+0.3),-1)</f>
        <v>90</v>
      </c>
      <c r="I99" s="339">
        <v>108</v>
      </c>
      <c r="J99" s="315">
        <f>ROUND(J69*(1+0.3),-1)</f>
        <v>120</v>
      </c>
      <c r="K99" s="339">
        <v>144</v>
      </c>
      <c r="L99" s="362">
        <v>140</v>
      </c>
      <c r="M99" s="365">
        <v>168</v>
      </c>
      <c r="N99" s="315">
        <f>ROUND(N69*(1+0.3),-1)</f>
        <v>160</v>
      </c>
      <c r="O99" s="339">
        <v>192</v>
      </c>
      <c r="P99" s="362">
        <f>ROUND(P69*(1+0.3),-1)</f>
        <v>40</v>
      </c>
      <c r="Q99" s="393" t="s">
        <v>35</v>
      </c>
      <c r="R99" s="362">
        <f>ROUND(R69*(1+0.3),-1)</f>
        <v>60</v>
      </c>
      <c r="S99" s="411" t="s">
        <v>35</v>
      </c>
      <c r="T99" s="362" t="s">
        <v>35</v>
      </c>
      <c r="U99" s="411" t="s">
        <v>35</v>
      </c>
      <c r="V99" s="216"/>
      <c r="W99" s="216"/>
    </row>
    <row r="100" spans="1:28" s="218" customFormat="1" ht="12.75" hidden="1" customHeight="1" outlineLevel="1">
      <c r="B100" s="1116"/>
      <c r="C100" s="1082"/>
      <c r="D100" s="292" t="s">
        <v>17</v>
      </c>
      <c r="E100" s="293"/>
      <c r="F100" s="315">
        <f>ROUND(F69*(1+0.3),-1)</f>
        <v>60</v>
      </c>
      <c r="G100" s="339">
        <v>72</v>
      </c>
      <c r="H100" s="315">
        <f>ROUND(H69*(1+0.3),-1)</f>
        <v>90</v>
      </c>
      <c r="I100" s="339">
        <v>108</v>
      </c>
      <c r="J100" s="315">
        <f>ROUND(J69*(1+0.3),-1)</f>
        <v>120</v>
      </c>
      <c r="K100" s="339">
        <v>144</v>
      </c>
      <c r="L100" s="362">
        <v>140</v>
      </c>
      <c r="M100" s="365">
        <v>168</v>
      </c>
      <c r="N100" s="315">
        <f>ROUND(N69*(1+0.3),-1)</f>
        <v>160</v>
      </c>
      <c r="O100" s="339">
        <v>192</v>
      </c>
      <c r="P100" s="362">
        <f>ROUND(P69*(1+0.3),-1)</f>
        <v>40</v>
      </c>
      <c r="Q100" s="393" t="s">
        <v>35</v>
      </c>
      <c r="R100" s="362">
        <f>ROUND(R69*(1+0.3),-1)</f>
        <v>60</v>
      </c>
      <c r="S100" s="411" t="s">
        <v>35</v>
      </c>
      <c r="T100" s="362" t="s">
        <v>35</v>
      </c>
      <c r="U100" s="411" t="s">
        <v>35</v>
      </c>
      <c r="V100" s="216"/>
      <c r="W100" s="216"/>
    </row>
    <row r="101" spans="1:28" s="218" customFormat="1" ht="12.75" hidden="1" customHeight="1" outlineLevel="1">
      <c r="B101" s="1116"/>
      <c r="C101" s="1082"/>
      <c r="D101" s="292" t="s">
        <v>18</v>
      </c>
      <c r="E101" s="293"/>
      <c r="F101" s="315">
        <f>ROUND(F69*(1+0.3),-1)</f>
        <v>60</v>
      </c>
      <c r="G101" s="339">
        <v>72</v>
      </c>
      <c r="H101" s="315">
        <f>ROUND(H69*(1+0.3),-1)</f>
        <v>90</v>
      </c>
      <c r="I101" s="339">
        <v>108</v>
      </c>
      <c r="J101" s="315">
        <f>ROUND(J69*(1+0.3),-1)</f>
        <v>120</v>
      </c>
      <c r="K101" s="339">
        <v>144</v>
      </c>
      <c r="L101" s="362">
        <v>140</v>
      </c>
      <c r="M101" s="365">
        <v>168</v>
      </c>
      <c r="N101" s="315">
        <f>ROUND(N69*(1+0.3),-1)</f>
        <v>160</v>
      </c>
      <c r="O101" s="339">
        <v>192</v>
      </c>
      <c r="P101" s="362">
        <f>ROUND(P69*(1+0.3),-1)</f>
        <v>40</v>
      </c>
      <c r="Q101" s="393" t="s">
        <v>35</v>
      </c>
      <c r="R101" s="362">
        <f>ROUND(R69*(1+0.3),-1)</f>
        <v>60</v>
      </c>
      <c r="S101" s="411" t="s">
        <v>35</v>
      </c>
      <c r="T101" s="362" t="s">
        <v>35</v>
      </c>
      <c r="U101" s="411" t="s">
        <v>35</v>
      </c>
      <c r="V101" s="216"/>
      <c r="W101" s="216"/>
    </row>
    <row r="102" spans="1:28" s="218" customFormat="1" ht="12.75" hidden="1" customHeight="1" outlineLevel="1">
      <c r="B102" s="1116"/>
      <c r="C102" s="1082"/>
      <c r="D102" s="292" t="s">
        <v>101</v>
      </c>
      <c r="E102" s="293"/>
      <c r="F102" s="315">
        <f>ROUND(F69*(1+0.3),-1)</f>
        <v>60</v>
      </c>
      <c r="G102" s="339">
        <v>72</v>
      </c>
      <c r="H102" s="315">
        <f>ROUND(H69*(1+0.3),-1)</f>
        <v>90</v>
      </c>
      <c r="I102" s="339">
        <v>108</v>
      </c>
      <c r="J102" s="315">
        <f>ROUND(J69*(1+0.3),-1)</f>
        <v>120</v>
      </c>
      <c r="K102" s="339">
        <v>144</v>
      </c>
      <c r="L102" s="362">
        <v>140</v>
      </c>
      <c r="M102" s="365">
        <v>168</v>
      </c>
      <c r="N102" s="315">
        <f>ROUND(N69*(1+0.3),-1)</f>
        <v>160</v>
      </c>
      <c r="O102" s="339">
        <v>192</v>
      </c>
      <c r="P102" s="362">
        <f>ROUND(P69*(1+0.3),-1)</f>
        <v>40</v>
      </c>
      <c r="Q102" s="393" t="s">
        <v>35</v>
      </c>
      <c r="R102" s="362">
        <f>ROUND(R69*(1+0.3),-1)</f>
        <v>60</v>
      </c>
      <c r="S102" s="411" t="s">
        <v>35</v>
      </c>
      <c r="T102" s="362" t="s">
        <v>35</v>
      </c>
      <c r="U102" s="411" t="s">
        <v>35</v>
      </c>
      <c r="V102" s="216"/>
      <c r="W102" s="216"/>
    </row>
    <row r="103" spans="1:28" s="218" customFormat="1" ht="12.75" hidden="1" customHeight="1" outlineLevel="1">
      <c r="B103" s="1116"/>
      <c r="C103" s="1082"/>
      <c r="D103" s="292" t="s">
        <v>89</v>
      </c>
      <c r="E103" s="293"/>
      <c r="F103" s="315">
        <f>ROUND(F79*(1+0.3),-1)</f>
        <v>60</v>
      </c>
      <c r="G103" s="339">
        <v>72</v>
      </c>
      <c r="H103" s="315">
        <f>ROUND(H79*(1+0.3),-1)</f>
        <v>90</v>
      </c>
      <c r="I103" s="339">
        <v>108</v>
      </c>
      <c r="J103" s="315">
        <f>ROUND(J79*(1+0.3),-1)</f>
        <v>120</v>
      </c>
      <c r="K103" s="339">
        <v>144</v>
      </c>
      <c r="L103" s="362" t="s">
        <v>35</v>
      </c>
      <c r="M103" s="365" t="s">
        <v>35</v>
      </c>
      <c r="N103" s="315" t="s">
        <v>35</v>
      </c>
      <c r="O103" s="365" t="s">
        <v>35</v>
      </c>
      <c r="P103" s="362">
        <f>ROUND(P79*(1+0.3),-1)</f>
        <v>40</v>
      </c>
      <c r="Q103" s="393" t="s">
        <v>35</v>
      </c>
      <c r="R103" s="362">
        <f>ROUND(R79*(1+0.3),-1)</f>
        <v>60</v>
      </c>
      <c r="S103" s="411" t="s">
        <v>35</v>
      </c>
      <c r="T103" s="362" t="s">
        <v>35</v>
      </c>
      <c r="U103" s="411" t="s">
        <v>35</v>
      </c>
      <c r="V103" s="216"/>
      <c r="W103" s="216"/>
    </row>
    <row r="104" spans="1:28" s="218" customFormat="1" ht="12.75" hidden="1" customHeight="1" outlineLevel="1">
      <c r="B104" s="1116"/>
      <c r="C104" s="1082"/>
      <c r="D104" s="292" t="s">
        <v>25</v>
      </c>
      <c r="E104" s="293"/>
      <c r="F104" s="315">
        <f>ROUND(F46*(1+0.3),-1)</f>
        <v>40</v>
      </c>
      <c r="G104" s="339">
        <v>48</v>
      </c>
      <c r="H104" s="315">
        <f>ROUND(H46*(1+0.3),-1)</f>
        <v>60</v>
      </c>
      <c r="I104" s="339">
        <v>72</v>
      </c>
      <c r="J104" s="315">
        <f>ROUND(J46*(1+0.3),-1)</f>
        <v>80</v>
      </c>
      <c r="K104" s="339">
        <v>96</v>
      </c>
      <c r="L104" s="362">
        <v>90</v>
      </c>
      <c r="M104" s="365">
        <v>108</v>
      </c>
      <c r="N104" s="315">
        <f>ROUND(N46*(1+0.3),-1)</f>
        <v>100</v>
      </c>
      <c r="O104" s="339">
        <v>120</v>
      </c>
      <c r="P104" s="362">
        <f>ROUND(P46*(1+0.3),-1)</f>
        <v>30</v>
      </c>
      <c r="Q104" s="393" t="s">
        <v>35</v>
      </c>
      <c r="R104" s="362">
        <f>ROUND(R46*(1+0.3),-1)</f>
        <v>40</v>
      </c>
      <c r="S104" s="411" t="s">
        <v>35</v>
      </c>
      <c r="T104" s="362" t="s">
        <v>35</v>
      </c>
      <c r="U104" s="411" t="s">
        <v>35</v>
      </c>
      <c r="V104" s="216"/>
      <c r="W104" s="216"/>
    </row>
    <row r="105" spans="1:28" s="218" customFormat="1" ht="12.75" hidden="1" customHeight="1" outlineLevel="1">
      <c r="B105" s="1116"/>
      <c r="C105" s="1082"/>
      <c r="D105" s="292" t="s">
        <v>183</v>
      </c>
      <c r="E105" s="293"/>
      <c r="F105" s="362">
        <f t="shared" ref="F105:P105" si="0">F32</f>
        <v>60</v>
      </c>
      <c r="G105" s="365">
        <f t="shared" si="0"/>
        <v>72</v>
      </c>
      <c r="H105" s="362">
        <f t="shared" si="0"/>
        <v>90</v>
      </c>
      <c r="I105" s="365">
        <f t="shared" si="0"/>
        <v>108</v>
      </c>
      <c r="J105" s="362">
        <f t="shared" si="0"/>
        <v>120</v>
      </c>
      <c r="K105" s="365">
        <f t="shared" si="0"/>
        <v>144</v>
      </c>
      <c r="L105" s="362">
        <f t="shared" si="0"/>
        <v>140</v>
      </c>
      <c r="M105" s="365">
        <f t="shared" si="0"/>
        <v>168</v>
      </c>
      <c r="N105" s="362">
        <f t="shared" si="0"/>
        <v>160</v>
      </c>
      <c r="O105" s="365">
        <f t="shared" si="0"/>
        <v>192</v>
      </c>
      <c r="P105" s="362">
        <f t="shared" si="0"/>
        <v>40</v>
      </c>
      <c r="Q105" s="393" t="s">
        <v>35</v>
      </c>
      <c r="R105" s="362">
        <f>R32</f>
        <v>60</v>
      </c>
      <c r="S105" s="411" t="s">
        <v>35</v>
      </c>
      <c r="T105" s="362" t="s">
        <v>35</v>
      </c>
      <c r="U105" s="411" t="s">
        <v>35</v>
      </c>
      <c r="V105" s="216"/>
      <c r="W105" s="216"/>
    </row>
    <row r="106" spans="1:28" s="218" customFormat="1" ht="12.75" hidden="1" customHeight="1" outlineLevel="1">
      <c r="B106" s="1116"/>
      <c r="C106" s="1082"/>
      <c r="D106" s="292" t="s">
        <v>353</v>
      </c>
      <c r="E106" s="293"/>
      <c r="F106" s="362">
        <f>ROUND(F69*(1+0.3),-1)</f>
        <v>60</v>
      </c>
      <c r="G106" s="365">
        <v>72</v>
      </c>
      <c r="H106" s="362">
        <f>ROUND(H69*(1+0.3),-1)</f>
        <v>90</v>
      </c>
      <c r="I106" s="365">
        <v>108</v>
      </c>
      <c r="J106" s="362">
        <f>ROUND(J69*(1+0.3),-1)</f>
        <v>120</v>
      </c>
      <c r="K106" s="365">
        <v>144</v>
      </c>
      <c r="L106" s="362">
        <v>140</v>
      </c>
      <c r="M106" s="365">
        <v>168</v>
      </c>
      <c r="N106" s="362">
        <f>ROUND(N69*(1+0.3),-1)</f>
        <v>160</v>
      </c>
      <c r="O106" s="365">
        <v>192</v>
      </c>
      <c r="P106" s="362">
        <f>ROUND(P69*(1+0.3),-1)</f>
        <v>40</v>
      </c>
      <c r="Q106" s="393" t="s">
        <v>35</v>
      </c>
      <c r="R106" s="362">
        <f>ROUND(R69*(1+0.3),-1)</f>
        <v>60</v>
      </c>
      <c r="S106" s="411" t="s">
        <v>35</v>
      </c>
      <c r="T106" s="362" t="s">
        <v>35</v>
      </c>
      <c r="U106" s="411" t="s">
        <v>35</v>
      </c>
      <c r="V106" s="216"/>
      <c r="W106" s="216"/>
    </row>
    <row r="107" spans="1:28" s="218" customFormat="1" ht="12.75" hidden="1" customHeight="1" outlineLevel="1">
      <c r="B107" s="1116"/>
      <c r="C107" s="1082"/>
      <c r="D107" s="290" t="s">
        <v>195</v>
      </c>
      <c r="E107" s="291"/>
      <c r="F107" s="505">
        <f>ROUND(F69*(1+0.3),-1)</f>
        <v>60</v>
      </c>
      <c r="G107" s="506">
        <v>72</v>
      </c>
      <c r="H107" s="505">
        <f>ROUND(H69*(1+0.3),-1)</f>
        <v>90</v>
      </c>
      <c r="I107" s="506">
        <v>108</v>
      </c>
      <c r="J107" s="505">
        <f>ROUND(J69*(1+0.3),-1)</f>
        <v>120</v>
      </c>
      <c r="K107" s="506">
        <v>144</v>
      </c>
      <c r="L107" s="505">
        <v>140</v>
      </c>
      <c r="M107" s="506">
        <v>168</v>
      </c>
      <c r="N107" s="505">
        <f>ROUND(N69*(1+0.3),-1)</f>
        <v>160</v>
      </c>
      <c r="O107" s="506">
        <v>192</v>
      </c>
      <c r="P107" s="505">
        <f>ROUND(P69*(1+0.3),-1)</f>
        <v>40</v>
      </c>
      <c r="Q107" s="389" t="s">
        <v>35</v>
      </c>
      <c r="R107" s="505">
        <f>ROUND(R69*(1+0.3),-1)</f>
        <v>60</v>
      </c>
      <c r="S107" s="413" t="s">
        <v>35</v>
      </c>
      <c r="T107" s="505" t="s">
        <v>35</v>
      </c>
      <c r="U107" s="413" t="s">
        <v>35</v>
      </c>
      <c r="V107" s="216"/>
      <c r="W107" s="216"/>
    </row>
    <row r="108" spans="1:28" s="218" customFormat="1" ht="52.5" customHeight="1" collapsed="1">
      <c r="B108" s="1116"/>
      <c r="C108" s="1149"/>
      <c r="D108" s="1009" t="str">
        <f>D93&amp;", "&amp;D94&amp;", "&amp;D95&amp;", "&amp;D96&amp;", "&amp;D97&amp;", "&amp;D98&amp;", "&amp;D99&amp;", "&amp;D100&amp;", "&amp;D101&amp;", "&amp;D102&amp;", "&amp;D103&amp;", "&amp;D104&amp;", "&amp;D105&amp;", "&amp;D106&amp;", "&amp;D107</f>
        <v>WP SportoweFakty, WP Facet, WP Dom, WP Moto, WP Tech, WP Autokult, WP Fotoblogia, WP Gadżetomania, WP Komórkomania, WP Gry, WP Pilot, WP Film, Autocentrum, dobreprogramy.pl³, polygamia.pl</v>
      </c>
      <c r="E108" s="1010"/>
      <c r="F108" s="320">
        <v>45</v>
      </c>
      <c r="G108" s="334">
        <v>54</v>
      </c>
      <c r="H108" s="320">
        <v>68</v>
      </c>
      <c r="I108" s="334">
        <v>81</v>
      </c>
      <c r="J108" s="320">
        <v>90</v>
      </c>
      <c r="K108" s="334">
        <v>108</v>
      </c>
      <c r="L108" s="314">
        <v>105</v>
      </c>
      <c r="M108" s="334">
        <v>125</v>
      </c>
      <c r="N108" s="314">
        <v>120</v>
      </c>
      <c r="O108" s="334">
        <v>144</v>
      </c>
      <c r="P108" s="374">
        <v>34</v>
      </c>
      <c r="Q108" s="395" t="s">
        <v>35</v>
      </c>
      <c r="R108" s="374">
        <v>45</v>
      </c>
      <c r="S108" s="408" t="s">
        <v>35</v>
      </c>
      <c r="T108" s="374" t="s">
        <v>35</v>
      </c>
      <c r="U108" s="408" t="s">
        <v>35</v>
      </c>
      <c r="V108" s="216"/>
      <c r="W108" s="216"/>
    </row>
    <row r="109" spans="1:28" ht="36" customHeight="1">
      <c r="A109" s="218"/>
      <c r="B109" s="1116"/>
      <c r="C109" s="304" t="str">
        <f>IF('Język - Language'!$B$30="Polski","PAKIET SPECJALNY","DEDICATED PACKAGE")</f>
        <v>PAKIET SPECJALNY</v>
      </c>
      <c r="D109" s="1009" t="str">
        <f>IF('Język - Language'!$B$30="Polski","Min. 4 wybrane serwisy - BEZ SERWISÓW KATEGORII BIZNES oraz ZDROWIE I PRENTING","Min. 4 selected sites - EXCLUDING BUSINESS, HEALTH AND PARENTING SITES")</f>
        <v>Min. 4 wybrane serwisy - BEZ SERWISÓW KATEGORII BIZNES oraz ZDROWIE I PRENTING</v>
      </c>
      <c r="E109" s="1010"/>
      <c r="F109" s="321">
        <v>67</v>
      </c>
      <c r="G109" s="332">
        <v>80</v>
      </c>
      <c r="H109" s="321">
        <v>86</v>
      </c>
      <c r="I109" s="332">
        <v>103</v>
      </c>
      <c r="J109" s="321">
        <v>114</v>
      </c>
      <c r="K109" s="332">
        <v>137</v>
      </c>
      <c r="L109" s="321">
        <v>135</v>
      </c>
      <c r="M109" s="332">
        <v>162</v>
      </c>
      <c r="N109" s="321">
        <v>150</v>
      </c>
      <c r="O109" s="332">
        <v>180</v>
      </c>
      <c r="P109" s="377">
        <v>43</v>
      </c>
      <c r="Q109" s="388" t="s">
        <v>35</v>
      </c>
      <c r="R109" s="374">
        <v>67</v>
      </c>
      <c r="S109" s="403" t="s">
        <v>35</v>
      </c>
      <c r="T109" s="374" t="s">
        <v>35</v>
      </c>
      <c r="U109" s="403" t="s">
        <v>35</v>
      </c>
      <c r="V109" s="23"/>
      <c r="W109" s="23"/>
      <c r="X109" s="216"/>
      <c r="Y109" s="216"/>
      <c r="Z109" s="216"/>
      <c r="AA109" s="216"/>
      <c r="AB109" s="216"/>
    </row>
    <row r="110" spans="1:28">
      <c r="A110" s="218"/>
      <c r="B110" s="305"/>
      <c r="C110" s="222" t="str">
        <f>IF('Język - Language'!$B$30="Polski","¹ Ceny dotyczą rozliczenia vCPM po statystykach wewnętrznych WPM. W przypadku rozliczenia po statystykach zewnętrznych dopłata +20%. ","¹ The above prices concern the vCPM settlement according to the internal statistics of WPM. In case of settlement based on external statistics, the +20 % extra charge applies.")</f>
        <v xml:space="preserve">¹ Ceny dotyczą rozliczenia vCPM po statystykach wewnętrznych WPM. W przypadku rozliczenia po statystykach zewnętrznych dopłata +20%. </v>
      </c>
      <c r="D110" s="88"/>
      <c r="E110" s="90"/>
      <c r="F110" s="88"/>
      <c r="G110" s="88"/>
      <c r="H110" s="88"/>
      <c r="I110" s="89"/>
      <c r="J110" s="218"/>
      <c r="K110" s="218"/>
      <c r="L110" s="218"/>
      <c r="M110" s="218"/>
      <c r="N110" s="218"/>
      <c r="O110" s="218"/>
      <c r="P110" s="218"/>
      <c r="R110" s="218"/>
      <c r="S110" s="218"/>
      <c r="T110" s="218"/>
      <c r="U110" s="218"/>
      <c r="V110" s="218"/>
      <c r="W110" s="218"/>
      <c r="X110" s="218"/>
      <c r="Y110" s="218"/>
      <c r="Z110" s="218"/>
      <c r="AA110" s="218"/>
      <c r="AB110" s="218"/>
    </row>
    <row r="111" spans="1:28">
      <c r="A111" s="218"/>
      <c r="B111" s="218"/>
      <c r="C111" s="223" t="str">
        <f>IF('Język - Language'!$B$30="Polski","² Format dostępny na wybranych serwisach. Ograniczona możliwość emisji w pakietach tematycznych złożonych z serwisów o zróżnicowanej specyfikacji technicznej.","² Available only in selected sites. Limited possibility of emission in thematic packages consisting of websites with different technical specifications.")</f>
        <v>² Format dostępny na wybranych serwisach. Ograniczona możliwość emisji w pakietach tematycznych złożonych z serwisów o zróżnicowanej specyfikacji technicznej.</v>
      </c>
      <c r="D111" s="57"/>
      <c r="E111" s="43"/>
      <c r="F111" s="218"/>
      <c r="G111" s="218"/>
      <c r="H111" s="231"/>
      <c r="I111" s="218"/>
      <c r="J111" s="218"/>
      <c r="K111" s="218"/>
      <c r="L111" s="218"/>
      <c r="M111" s="218"/>
      <c r="N111" s="218"/>
      <c r="O111" s="218"/>
      <c r="P111" s="218"/>
      <c r="R111" s="218"/>
      <c r="S111" s="218"/>
      <c r="T111" s="218"/>
      <c r="U111" s="218"/>
      <c r="V111" s="218"/>
      <c r="W111" s="218"/>
      <c r="X111" s="218"/>
      <c r="Y111" s="218"/>
      <c r="Z111" s="218"/>
      <c r="AA111" s="218"/>
      <c r="AB111" s="218"/>
    </row>
    <row r="112" spans="1:28" s="186" customFormat="1">
      <c r="A112" s="218"/>
      <c r="B112" s="218"/>
      <c r="C112" s="214" t="str">
        <f>IF('Język - Language'!$B$30="Polski","³ Screening na dobreprogramy.pl sprzedawany wyłącznie poza pakietem.","³ Screening on site dobreprogramy.pl is only available outside the package.")</f>
        <v>³ Screening na dobreprogramy.pl sprzedawany wyłącznie poza pakietem.</v>
      </c>
      <c r="D112" s="57"/>
      <c r="E112" s="43"/>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218"/>
    </row>
    <row r="113" spans="1:29" s="218" customFormat="1">
      <c r="C113" s="214" t="s">
        <v>354</v>
      </c>
      <c r="D113" s="57"/>
      <c r="E113" s="43"/>
    </row>
    <row r="114" spans="1:29" s="218" customFormat="1">
      <c r="C114" s="214" t="str">
        <f>IF('Język - Language'!$B$30="Polski","⁵ dopłata do opcji Full Page wynosi 25%","⁵ surcharge for the Full Page option is 25%")</f>
        <v>⁵ dopłata do opcji Full Page wynosi 25%</v>
      </c>
      <c r="D114" s="57"/>
      <c r="E114" s="43"/>
    </row>
    <row r="115" spans="1:29" s="218" customFormat="1">
      <c r="C115" s="214" t="s">
        <v>356</v>
      </c>
      <c r="D115" s="57"/>
      <c r="E115" s="43"/>
    </row>
    <row r="116" spans="1:29" s="218" customFormat="1">
      <c r="C116" s="214"/>
      <c r="D116" s="57"/>
      <c r="E116" s="43"/>
    </row>
    <row r="117" spans="1:29" s="218" customFormat="1" ht="12.75" customHeight="1" thickBot="1">
      <c r="B117" s="216"/>
      <c r="C117" s="222"/>
      <c r="D117" s="111"/>
      <c r="E117" s="20"/>
      <c r="F117" s="20"/>
      <c r="G117" s="20"/>
      <c r="H117" s="20"/>
      <c r="I117" s="20"/>
      <c r="J117" s="21"/>
      <c r="K117" s="21"/>
      <c r="L117" s="21"/>
      <c r="M117" s="21"/>
    </row>
    <row r="118" spans="1:29" s="186" customFormat="1" ht="12.75" customHeight="1" thickTop="1">
      <c r="A118" s="218"/>
      <c r="B118" s="211"/>
      <c r="C118" s="1144" t="str">
        <f>IF('Język - Language'!$B$30="Polski","MIEJSCE EMISJI","PLACE OF EMISSION")</f>
        <v>MIEJSCE EMISJI</v>
      </c>
      <c r="D118" s="1145"/>
      <c r="E118" s="1130" t="str">
        <f>IF('Język - Language'!$B$30="Polski","WIDZIALNE ODSŁONY³","VIEWABLE IMPRESSIONS³")</f>
        <v>WIDZIALNE ODSŁONY³</v>
      </c>
      <c r="F118" s="1109" t="s">
        <v>241</v>
      </c>
      <c r="G118" s="1110"/>
      <c r="H118" s="1110"/>
      <c r="I118" s="1110" t="s">
        <v>360</v>
      </c>
      <c r="J118" s="1110"/>
      <c r="K118" s="1133"/>
      <c r="L118" s="216"/>
      <c r="M118" s="218"/>
      <c r="N118" s="218"/>
      <c r="O118" s="218"/>
      <c r="P118" s="218"/>
      <c r="Q118" s="218"/>
      <c r="R118" s="218"/>
      <c r="S118" s="218"/>
      <c r="T118" s="218"/>
      <c r="U118" s="218"/>
      <c r="V118" s="218"/>
      <c r="W118" s="218"/>
      <c r="X118" s="218"/>
      <c r="Y118" s="218"/>
      <c r="Z118" s="218"/>
      <c r="AA118" s="218"/>
      <c r="AB118" s="218"/>
      <c r="AC118" s="218"/>
    </row>
    <row r="119" spans="1:29" s="186" customFormat="1" ht="12.75" customHeight="1">
      <c r="A119" s="216"/>
      <c r="B119" s="211"/>
      <c r="C119" s="1126"/>
      <c r="D119" s="1146"/>
      <c r="E119" s="1131"/>
      <c r="F119" s="1111"/>
      <c r="G119" s="1083"/>
      <c r="H119" s="1083"/>
      <c r="I119" s="1083"/>
      <c r="J119" s="1083"/>
      <c r="K119" s="1118"/>
      <c r="L119" s="216"/>
      <c r="M119" s="218"/>
      <c r="N119" s="218"/>
      <c r="O119" s="218"/>
      <c r="P119" s="218"/>
      <c r="Q119" s="218"/>
      <c r="R119" s="218"/>
      <c r="S119" s="218"/>
      <c r="T119" s="218"/>
      <c r="U119" s="218"/>
      <c r="V119" s="218"/>
      <c r="W119" s="218"/>
      <c r="X119" s="218"/>
      <c r="Y119" s="218"/>
      <c r="Z119" s="218"/>
      <c r="AA119" s="218"/>
      <c r="AB119" s="218"/>
      <c r="AC119" s="218"/>
    </row>
    <row r="120" spans="1:29" s="218" customFormat="1" ht="12.75" customHeight="1">
      <c r="A120" s="216"/>
      <c r="B120" s="211"/>
      <c r="C120" s="1126"/>
      <c r="D120" s="1146"/>
      <c r="E120" s="1131"/>
      <c r="F120" s="1112" t="s">
        <v>191</v>
      </c>
      <c r="G120" s="1113"/>
      <c r="H120" s="1113"/>
      <c r="I120" s="1113" t="s">
        <v>361</v>
      </c>
      <c r="J120" s="1113"/>
      <c r="K120" s="1134"/>
      <c r="L120" s="216"/>
    </row>
    <row r="121" spans="1:29" s="218" customFormat="1" ht="12.75" customHeight="1">
      <c r="A121" s="216"/>
      <c r="B121" s="211"/>
      <c r="C121" s="1126"/>
      <c r="D121" s="1146"/>
      <c r="E121" s="1131"/>
      <c r="F121" s="1112"/>
      <c r="G121" s="1113"/>
      <c r="H121" s="1113"/>
      <c r="I121" s="1113"/>
      <c r="J121" s="1113"/>
      <c r="K121" s="1134"/>
      <c r="L121" s="216"/>
    </row>
    <row r="122" spans="1:29" s="186" customFormat="1" ht="12.75" customHeight="1">
      <c r="A122" s="218"/>
      <c r="B122" s="211"/>
      <c r="C122" s="1126"/>
      <c r="D122" s="1146"/>
      <c r="E122" s="1131"/>
      <c r="F122" s="1111" t="str">
        <f>IF('Język - Language'!$B$30="Polski","rozliczenie za widzialne odsłony wg standardu IAB¹","settlement for visible ad views according to the IAB standard¹")</f>
        <v>rozliczenie za widzialne odsłony wg standardu IAB¹</v>
      </c>
      <c r="G122" s="1083"/>
      <c r="H122" s="1083"/>
      <c r="I122" s="1083"/>
      <c r="J122" s="1083"/>
      <c r="K122" s="1118"/>
      <c r="L122" s="218"/>
      <c r="M122" s="218"/>
      <c r="N122" s="218"/>
      <c r="O122" s="218"/>
      <c r="P122" s="218"/>
      <c r="Q122" s="218"/>
      <c r="R122" s="218"/>
      <c r="S122" s="218"/>
      <c r="T122" s="218"/>
      <c r="U122" s="218"/>
      <c r="V122" s="218"/>
      <c r="W122" s="218"/>
      <c r="X122" s="218"/>
      <c r="Y122" s="218"/>
      <c r="Z122" s="218"/>
      <c r="AA122" s="218"/>
      <c r="AB122" s="218"/>
      <c r="AC122" s="218"/>
    </row>
    <row r="123" spans="1:29" s="186" customFormat="1" ht="12.75" customHeight="1">
      <c r="A123" s="218"/>
      <c r="B123" s="211"/>
      <c r="C123" s="1127"/>
      <c r="D123" s="1147"/>
      <c r="E123" s="1132"/>
      <c r="F123" s="1111" t="str">
        <f>IF('Język - Language'!$B$30="Polski","CENA RC","RC PRICE")</f>
        <v>CENA RC</v>
      </c>
      <c r="G123" s="1083"/>
      <c r="H123" s="1083"/>
      <c r="I123" s="1083"/>
      <c r="J123" s="1083"/>
      <c r="K123" s="1118"/>
      <c r="L123" s="216"/>
      <c r="M123" s="218"/>
      <c r="N123" s="218"/>
      <c r="O123" s="218"/>
      <c r="P123" s="218"/>
      <c r="Q123" s="218"/>
      <c r="R123" s="218"/>
      <c r="S123" s="218"/>
      <c r="T123" s="218"/>
      <c r="U123" s="218"/>
      <c r="V123" s="218"/>
      <c r="W123" s="218"/>
      <c r="X123" s="218"/>
      <c r="Y123" s="218"/>
      <c r="Z123" s="218"/>
      <c r="AA123" s="218"/>
      <c r="AB123" s="218"/>
      <c r="AC123" s="218"/>
    </row>
    <row r="124" spans="1:29" s="186" customFormat="1" ht="12.75" customHeight="1">
      <c r="A124" s="218"/>
      <c r="B124" s="1115" t="str">
        <f>IF('Język - Language'!$B$30="Polski","PAKIETY ZASIĘGOWE","REACH PACKAGES")</f>
        <v>PAKIETY ZASIĘGOWE</v>
      </c>
      <c r="C124" s="1125" t="s">
        <v>162</v>
      </c>
      <c r="D124" s="277" t="str">
        <f>IF('Język - Language'!$B$30="Polski",CONCATENATE("Moduł ",CHAR(34),"Wiadomości",CHAR(34)),"Category 'News'")</f>
        <v>Moduł "Wiadomości"</v>
      </c>
      <c r="E124" s="212">
        <v>2000000</v>
      </c>
      <c r="F124" s="1114">
        <v>184000</v>
      </c>
      <c r="G124" s="1085"/>
      <c r="H124" s="1085"/>
      <c r="I124" s="1044" t="s">
        <v>359</v>
      </c>
      <c r="J124" s="1044"/>
      <c r="K124" s="1141"/>
      <c r="L124" s="216"/>
      <c r="M124" s="218"/>
      <c r="N124" s="218"/>
      <c r="O124" s="218"/>
      <c r="P124" s="218"/>
      <c r="Q124" s="218"/>
      <c r="R124" s="218"/>
      <c r="S124" s="218"/>
      <c r="T124" s="218"/>
      <c r="U124" s="218"/>
      <c r="V124" s="218"/>
      <c r="W124" s="218"/>
      <c r="X124" s="218"/>
      <c r="Y124" s="218"/>
      <c r="Z124" s="218"/>
      <c r="AA124" s="218"/>
      <c r="AB124" s="218"/>
      <c r="AC124" s="218"/>
    </row>
    <row r="125" spans="1:29" s="186" customFormat="1" ht="12.75" customHeight="1">
      <c r="A125" s="218"/>
      <c r="B125" s="1115"/>
      <c r="C125" s="1126"/>
      <c r="D125" s="277" t="str">
        <f>IF('Język - Language'!$B$30="Polski",CONCATENATE("Moduł ",CHAR(34),"Sport",CHAR(34)),"Category 'Sport'")</f>
        <v>Moduł "Sport"</v>
      </c>
      <c r="E125" s="212">
        <v>1400000</v>
      </c>
      <c r="F125" s="1114">
        <v>129000</v>
      </c>
      <c r="G125" s="1085"/>
      <c r="H125" s="1085"/>
      <c r="I125" s="1044"/>
      <c r="J125" s="1044"/>
      <c r="K125" s="1141"/>
      <c r="L125" s="216"/>
      <c r="M125" s="218"/>
      <c r="N125" s="218"/>
      <c r="O125" s="218"/>
      <c r="P125" s="218"/>
      <c r="Q125" s="218"/>
      <c r="R125" s="218"/>
      <c r="S125" s="218"/>
      <c r="T125" s="218"/>
      <c r="U125" s="218"/>
      <c r="V125" s="218"/>
      <c r="W125" s="218"/>
      <c r="X125" s="218"/>
      <c r="Y125" s="218"/>
      <c r="Z125" s="218"/>
      <c r="AA125" s="218"/>
      <c r="AB125" s="218"/>
      <c r="AC125" s="218"/>
    </row>
    <row r="126" spans="1:29" s="186" customFormat="1" ht="12.75" customHeight="1">
      <c r="A126" s="218"/>
      <c r="B126" s="1115"/>
      <c r="C126" s="1126"/>
      <c r="D126" s="277" t="str">
        <f>IF('Język - Language'!$B$30="Polski",CONCATENATE("Moduł ",CHAR(34),"Finanse",CHAR(34)),"Category 'Business'")</f>
        <v>Moduł "Finanse"</v>
      </c>
      <c r="E126" s="212">
        <v>1200000</v>
      </c>
      <c r="F126" s="1114">
        <v>110000</v>
      </c>
      <c r="G126" s="1085"/>
      <c r="H126" s="1085"/>
      <c r="I126" s="1044"/>
      <c r="J126" s="1044"/>
      <c r="K126" s="1141"/>
      <c r="L126" s="216"/>
      <c r="M126" s="218"/>
      <c r="N126" s="218"/>
      <c r="O126" s="218"/>
      <c r="P126" s="218"/>
      <c r="Q126" s="218"/>
      <c r="R126" s="218"/>
      <c r="S126" s="218"/>
      <c r="T126" s="218"/>
      <c r="U126" s="218"/>
      <c r="V126" s="218"/>
      <c r="W126" s="218"/>
      <c r="X126" s="218"/>
      <c r="Y126" s="218"/>
      <c r="Z126" s="218"/>
      <c r="AA126" s="218"/>
      <c r="AB126" s="218"/>
      <c r="AC126" s="218"/>
    </row>
    <row r="127" spans="1:29" s="186" customFormat="1" ht="12.75" customHeight="1">
      <c r="A127" s="218"/>
      <c r="B127" s="1115"/>
      <c r="C127" s="1126"/>
      <c r="D127" s="277" t="str">
        <f>IF('Język - Language'!$B$30="Polski",CONCATENATE("Moduł ",CHAR(34),"Gwiazdy",CHAR(34)),"Category 'Stars'")</f>
        <v>Moduł "Gwiazdy"</v>
      </c>
      <c r="E127" s="212">
        <v>1000000</v>
      </c>
      <c r="F127" s="1114">
        <v>92000</v>
      </c>
      <c r="G127" s="1085"/>
      <c r="H127" s="1085"/>
      <c r="I127" s="1044"/>
      <c r="J127" s="1044"/>
      <c r="K127" s="1141"/>
      <c r="L127" s="216"/>
      <c r="M127" s="218"/>
      <c r="N127" s="218"/>
      <c r="O127" s="218"/>
      <c r="P127" s="218"/>
      <c r="Q127" s="218"/>
      <c r="R127" s="218"/>
      <c r="S127" s="218"/>
      <c r="T127" s="218"/>
      <c r="U127" s="218"/>
      <c r="V127" s="218"/>
      <c r="W127" s="218"/>
      <c r="X127" s="218"/>
      <c r="Y127" s="218"/>
      <c r="Z127" s="218"/>
      <c r="AA127" s="218"/>
      <c r="AB127" s="218"/>
      <c r="AC127" s="218"/>
    </row>
    <row r="128" spans="1:29" s="186" customFormat="1" ht="12.75" customHeight="1">
      <c r="A128" s="218"/>
      <c r="B128" s="1115"/>
      <c r="C128" s="1126"/>
      <c r="D128" s="277" t="str">
        <f>IF('Język - Language'!$B$30="Polski",CONCATENATE("Moduł ",CHAR(34),"Moto",CHAR(34)),"Category 'Automotive'")</f>
        <v>Moduł "Moto"</v>
      </c>
      <c r="E128" s="212">
        <v>900000</v>
      </c>
      <c r="F128" s="1114">
        <v>83000</v>
      </c>
      <c r="G128" s="1085"/>
      <c r="H128" s="1085"/>
      <c r="I128" s="1044"/>
      <c r="J128" s="1044"/>
      <c r="K128" s="1141"/>
      <c r="L128" s="216"/>
      <c r="M128" s="218"/>
      <c r="N128" s="218"/>
      <c r="O128" s="218"/>
      <c r="P128" s="218"/>
      <c r="Q128" s="218"/>
      <c r="R128" s="218"/>
      <c r="S128" s="218"/>
      <c r="T128" s="218"/>
      <c r="U128" s="218"/>
      <c r="V128" s="218"/>
      <c r="W128" s="218"/>
      <c r="X128" s="218"/>
      <c r="Y128" s="218"/>
      <c r="Z128" s="218"/>
      <c r="AA128" s="218"/>
      <c r="AB128" s="218"/>
      <c r="AC128" s="218"/>
    </row>
    <row r="129" spans="1:29" s="186" customFormat="1" ht="12.75" customHeight="1">
      <c r="A129" s="218"/>
      <c r="B129" s="1115"/>
      <c r="C129" s="1126"/>
      <c r="D129" s="277" t="str">
        <f>IF('Język - Language'!$B$30="Polski",CONCATENATE("Moduł ",CHAR(34),"Styl Życia",CHAR(34)),"Category 'Lifestyle'")</f>
        <v>Moduł "Styl Życia"</v>
      </c>
      <c r="E129" s="212">
        <v>700000</v>
      </c>
      <c r="F129" s="1114">
        <v>64000</v>
      </c>
      <c r="G129" s="1085"/>
      <c r="H129" s="1085"/>
      <c r="I129" s="1044"/>
      <c r="J129" s="1044"/>
      <c r="K129" s="1141"/>
      <c r="L129" s="216"/>
      <c r="M129" s="218"/>
      <c r="N129" s="218"/>
      <c r="O129" s="218"/>
      <c r="P129" s="218"/>
      <c r="Q129" s="218"/>
      <c r="R129" s="218"/>
      <c r="S129" s="218"/>
      <c r="T129" s="218"/>
      <c r="U129" s="218"/>
      <c r="V129" s="218"/>
      <c r="W129" s="218"/>
      <c r="X129" s="218"/>
      <c r="Y129" s="218"/>
      <c r="Z129" s="218"/>
      <c r="AA129" s="218"/>
      <c r="AB129" s="218"/>
      <c r="AC129" s="218"/>
    </row>
    <row r="130" spans="1:29" s="186" customFormat="1" ht="12.75" customHeight="1">
      <c r="A130" s="218"/>
      <c r="B130" s="1115"/>
      <c r="C130" s="1126"/>
      <c r="D130" s="277" t="str">
        <f>IF('Język - Language'!$B$30="Polski",CONCATENATE("Moduł ",CHAR(34),"Turystyka",CHAR(34)),"Category 'Touring'")</f>
        <v>Moduł "Turystyka"</v>
      </c>
      <c r="E130" s="212">
        <v>600000</v>
      </c>
      <c r="F130" s="1114">
        <v>55000</v>
      </c>
      <c r="G130" s="1085"/>
      <c r="H130" s="1085"/>
      <c r="I130" s="1044"/>
      <c r="J130" s="1044"/>
      <c r="K130" s="1141"/>
      <c r="L130" s="216"/>
      <c r="M130" s="218"/>
      <c r="N130" s="218"/>
      <c r="O130" s="218"/>
      <c r="P130" s="218"/>
      <c r="Q130" s="218"/>
      <c r="R130" s="218"/>
      <c r="S130" s="218"/>
      <c r="T130" s="218"/>
      <c r="U130" s="218"/>
      <c r="V130" s="218"/>
      <c r="W130" s="218"/>
      <c r="X130" s="218"/>
      <c r="Y130" s="218"/>
      <c r="Z130" s="218"/>
      <c r="AA130" s="218"/>
      <c r="AB130" s="218"/>
      <c r="AC130" s="218"/>
    </row>
    <row r="131" spans="1:29" s="186" customFormat="1" ht="12.75" customHeight="1">
      <c r="A131" s="218"/>
      <c r="B131" s="1115"/>
      <c r="C131" s="1126"/>
      <c r="D131" s="445" t="str">
        <f>IF('Język - Language'!$B$30="Polski",CONCATENATE("Moduł ",CHAR(34),"Zobacz więcej",CHAR(34)),"Category 'See more'")</f>
        <v>Moduł "Zobacz więcej"</v>
      </c>
      <c r="E131" s="446">
        <v>500000</v>
      </c>
      <c r="F131" s="1135">
        <v>46000</v>
      </c>
      <c r="G131" s="1136"/>
      <c r="H131" s="1136"/>
      <c r="I131" s="1142"/>
      <c r="J131" s="1142"/>
      <c r="K131" s="1143"/>
      <c r="L131" s="216"/>
      <c r="M131" s="218"/>
      <c r="N131" s="218"/>
      <c r="O131" s="218"/>
      <c r="P131" s="218"/>
      <c r="Q131" s="218"/>
      <c r="R131" s="218"/>
      <c r="S131" s="218"/>
      <c r="T131" s="218"/>
      <c r="U131" s="218"/>
      <c r="V131" s="218"/>
      <c r="W131" s="218"/>
      <c r="X131" s="218"/>
      <c r="Y131" s="218"/>
      <c r="Z131" s="218"/>
      <c r="AA131" s="218"/>
      <c r="AB131" s="218"/>
      <c r="AC131" s="218"/>
    </row>
    <row r="132" spans="1:29" s="186" customFormat="1" ht="12.75" customHeight="1">
      <c r="A132" s="218"/>
      <c r="B132" s="1115"/>
      <c r="C132" s="1127"/>
      <c r="D132" s="444" t="str">
        <f>IF('Język - Language'!$B$30="Polski","Moduły rotacyjnie","Rotating in categories")</f>
        <v>Moduły rotacyjnie</v>
      </c>
      <c r="E132" s="213">
        <v>1000000</v>
      </c>
      <c r="F132" s="1137">
        <v>75000</v>
      </c>
      <c r="G132" s="1138"/>
      <c r="H132" s="1138"/>
      <c r="I132" s="849"/>
      <c r="J132" s="849"/>
      <c r="K132" s="850"/>
      <c r="L132" s="216"/>
      <c r="M132" s="218"/>
      <c r="N132" s="218"/>
      <c r="O132" s="218"/>
      <c r="P132" s="218"/>
      <c r="Q132" s="218"/>
      <c r="R132" s="218"/>
      <c r="S132" s="218"/>
      <c r="T132" s="218"/>
      <c r="U132" s="218"/>
      <c r="V132" s="218"/>
      <c r="W132" s="218"/>
      <c r="X132" s="218"/>
      <c r="Y132" s="218"/>
      <c r="Z132" s="218"/>
      <c r="AA132" s="218"/>
      <c r="AB132" s="218"/>
      <c r="AC132" s="218"/>
    </row>
    <row r="133" spans="1:29" s="218" customFormat="1" ht="25.5" customHeight="1">
      <c r="B133" s="1115"/>
      <c r="C133" s="572" t="s">
        <v>240</v>
      </c>
      <c r="D133" s="510" t="s">
        <v>190</v>
      </c>
      <c r="E133" s="514">
        <v>1000000</v>
      </c>
      <c r="F133" s="1139">
        <v>80000</v>
      </c>
      <c r="G133" s="1105"/>
      <c r="H133" s="1105"/>
      <c r="I133" s="1105" t="s">
        <v>74</v>
      </c>
      <c r="J133" s="1105"/>
      <c r="K133" s="1106"/>
      <c r="L133" s="216"/>
    </row>
    <row r="134" spans="1:29" s="218" customFormat="1" ht="25.5" customHeight="1">
      <c r="B134" s="1115"/>
      <c r="C134" s="573" t="s">
        <v>186</v>
      </c>
      <c r="D134" s="487" t="s">
        <v>156</v>
      </c>
      <c r="E134" s="212">
        <v>500000</v>
      </c>
      <c r="F134" s="1139">
        <v>40000</v>
      </c>
      <c r="G134" s="1105"/>
      <c r="H134" s="1105"/>
      <c r="I134" s="1105">
        <v>50000</v>
      </c>
      <c r="J134" s="1105"/>
      <c r="K134" s="1106"/>
      <c r="L134" s="216"/>
    </row>
    <row r="135" spans="1:29" s="218" customFormat="1" ht="25.5" customHeight="1">
      <c r="B135" s="1115"/>
      <c r="C135" s="573" t="s">
        <v>267</v>
      </c>
      <c r="D135" s="511" t="s">
        <v>156</v>
      </c>
      <c r="E135" s="514">
        <v>500000</v>
      </c>
      <c r="F135" s="1139">
        <v>40000</v>
      </c>
      <c r="G135" s="1105"/>
      <c r="H135" s="1105"/>
      <c r="I135" s="1105">
        <v>80000</v>
      </c>
      <c r="J135" s="1105"/>
      <c r="K135" s="1106"/>
      <c r="L135" s="216"/>
    </row>
    <row r="136" spans="1:29" s="218" customFormat="1" ht="25.5" customHeight="1">
      <c r="B136" s="1115"/>
      <c r="C136" s="574" t="s">
        <v>188</v>
      </c>
      <c r="D136" s="510" t="s">
        <v>273</v>
      </c>
      <c r="E136" s="514">
        <v>500000</v>
      </c>
      <c r="F136" s="1139">
        <v>60000</v>
      </c>
      <c r="G136" s="1105"/>
      <c r="H136" s="1105"/>
      <c r="I136" s="1105">
        <v>90000</v>
      </c>
      <c r="J136" s="1105"/>
      <c r="K136" s="1106"/>
      <c r="L136" s="216"/>
    </row>
    <row r="137" spans="1:29" s="218" customFormat="1" ht="25.5" customHeight="1" thickBot="1">
      <c r="B137" s="1115"/>
      <c r="C137" s="575" t="s">
        <v>187</v>
      </c>
      <c r="D137" s="278" t="s">
        <v>189</v>
      </c>
      <c r="E137" s="515">
        <v>500000</v>
      </c>
      <c r="F137" s="1140">
        <v>60000</v>
      </c>
      <c r="G137" s="1107"/>
      <c r="H137" s="1107"/>
      <c r="I137" s="1107">
        <v>60000</v>
      </c>
      <c r="J137" s="1107"/>
      <c r="K137" s="1108"/>
      <c r="L137" s="216"/>
    </row>
    <row r="138" spans="1:29" s="218" customFormat="1" ht="12.75" customHeight="1" thickTop="1">
      <c r="B138" s="543"/>
      <c r="C138" s="650"/>
      <c r="D138" s="651"/>
      <c r="E138" s="652"/>
      <c r="F138" s="653"/>
      <c r="G138" s="653"/>
      <c r="H138" s="653"/>
      <c r="I138" s="653"/>
      <c r="J138" s="653"/>
      <c r="K138" s="653"/>
      <c r="L138" s="216"/>
    </row>
    <row r="139" spans="1:29" s="218" customFormat="1" ht="12.75" customHeight="1">
      <c r="B139" s="1116" t="s">
        <v>271</v>
      </c>
      <c r="C139" s="1082" t="str">
        <f>IF('Język - Language'!$B$30="Polski","MIEJSCE EMISJI","PLACE OF EMISSION")</f>
        <v>MIEJSCE EMISJI</v>
      </c>
      <c r="D139" s="372"/>
      <c r="E139" s="1119" t="str">
        <f>IF('Język - Language'!$B$30="Polski","WIDZIALNE ODSŁONY³","VIEWABLE IMPRESSIONS³")</f>
        <v>WIDZIALNE ODSŁONY³</v>
      </c>
      <c r="F139" s="1174" t="s">
        <v>255</v>
      </c>
      <c r="G139" s="1174"/>
      <c r="H139" s="1174" t="s">
        <v>256</v>
      </c>
      <c r="I139" s="1174"/>
      <c r="J139" s="1128" t="s">
        <v>237</v>
      </c>
      <c r="K139" s="1129"/>
      <c r="L139" s="216"/>
      <c r="M139" s="216"/>
      <c r="N139" s="216"/>
    </row>
    <row r="140" spans="1:29" s="218" customFormat="1" ht="25.5" customHeight="1">
      <c r="B140" s="1116"/>
      <c r="C140" s="1082"/>
      <c r="D140" s="582"/>
      <c r="E140" s="1119"/>
      <c r="F140" s="1174"/>
      <c r="G140" s="1174"/>
      <c r="H140" s="1174"/>
      <c r="I140" s="1174"/>
      <c r="J140" s="1174" t="s">
        <v>238</v>
      </c>
      <c r="K140" s="1186"/>
      <c r="L140" s="216"/>
      <c r="M140" s="216"/>
      <c r="N140" s="216"/>
    </row>
    <row r="141" spans="1:29" s="218" customFormat="1" ht="12.75" customHeight="1">
      <c r="B141" s="1116"/>
      <c r="C141" s="1082"/>
      <c r="D141" s="582"/>
      <c r="E141" s="1119"/>
      <c r="F141" s="1128" t="str">
        <f>IF('Język - Language'!$B$30="Polski","CENA RC","RC PRICE")</f>
        <v>CENA RC</v>
      </c>
      <c r="G141" s="1128"/>
      <c r="H141" s="1128"/>
      <c r="I141" s="1128"/>
      <c r="J141" s="1128"/>
      <c r="K141" s="1129"/>
      <c r="L141" s="216"/>
    </row>
    <row r="142" spans="1:29" s="218" customFormat="1" ht="25.5" customHeight="1">
      <c r="B142" s="1116"/>
      <c r="C142" s="1082" t="s">
        <v>239</v>
      </c>
      <c r="D142" s="1124" t="str">
        <f>IF('Język - Language'!$B$30="Polski","Interfejs Poczty WP/o2 (desktop)","Email service interface  WP/o2 (desktop)")</f>
        <v>Interfejs Poczty WP/o2 (desktop)</v>
      </c>
      <c r="E142" s="247" t="s">
        <v>274</v>
      </c>
      <c r="F142" s="1175">
        <v>350000</v>
      </c>
      <c r="G142" s="1175"/>
      <c r="H142" s="1085">
        <v>400000</v>
      </c>
      <c r="I142" s="1085"/>
      <c r="J142" s="1085">
        <v>370000</v>
      </c>
      <c r="K142" s="1120"/>
      <c r="L142" s="216"/>
      <c r="M142" s="216"/>
      <c r="N142" s="216"/>
    </row>
    <row r="143" spans="1:29" s="218" customFormat="1" ht="25.5" customHeight="1">
      <c r="B143" s="1117"/>
      <c r="C143" s="1123"/>
      <c r="D143" s="958"/>
      <c r="E143" s="639" t="s">
        <v>275</v>
      </c>
      <c r="F143" s="1121">
        <v>600000</v>
      </c>
      <c r="G143" s="1121"/>
      <c r="H143" s="1121">
        <v>700000</v>
      </c>
      <c r="I143" s="1121"/>
      <c r="J143" s="1121">
        <v>640000</v>
      </c>
      <c r="K143" s="1122"/>
      <c r="L143" s="216"/>
      <c r="M143" s="216"/>
      <c r="N143" s="216"/>
    </row>
    <row r="144" spans="1:29" s="218" customFormat="1" ht="12.75" customHeight="1">
      <c r="B144" s="512"/>
      <c r="C144" s="672"/>
      <c r="D144" s="673"/>
      <c r="E144" s="670"/>
      <c r="F144" s="671"/>
      <c r="G144" s="671"/>
      <c r="H144" s="671"/>
      <c r="I144" s="671"/>
      <c r="J144" s="671"/>
      <c r="K144" s="671"/>
      <c r="L144" s="216"/>
      <c r="M144" s="216"/>
      <c r="N144" s="216"/>
    </row>
    <row r="145" spans="1:33" s="218" customFormat="1" ht="25.5" customHeight="1">
      <c r="B145" s="1176" t="s">
        <v>268</v>
      </c>
      <c r="C145" s="1182" t="s">
        <v>83</v>
      </c>
      <c r="D145" s="629"/>
      <c r="E145" s="1183" t="str">
        <f>IF('Język - Language'!$B$30="Polski","WIDZIALNE ODSŁONY³","VIEWABLE IMPRESSIONS³")</f>
        <v>WIDZIALNE ODSŁONY³</v>
      </c>
      <c r="F145" s="1184" t="s">
        <v>276</v>
      </c>
      <c r="G145" s="1184"/>
      <c r="H145" s="1184"/>
      <c r="I145" s="1187" t="s">
        <v>358</v>
      </c>
      <c r="J145" s="1187"/>
      <c r="K145" s="1188"/>
      <c r="L145" s="216"/>
    </row>
    <row r="146" spans="1:33" s="218" customFormat="1" ht="12.75" customHeight="1">
      <c r="B146" s="1177"/>
      <c r="C146" s="1182"/>
      <c r="D146" s="629"/>
      <c r="E146" s="1183"/>
      <c r="F146" s="1184" t="str">
        <f>IF('Język - Language'!$B$30="Polski","rozliczenie za widzialne odsłony wg standardu IAB¹","settlement for visible ad views according to the IAB standard¹")</f>
        <v>rozliczenie za widzialne odsłony wg standardu IAB¹</v>
      </c>
      <c r="G146" s="1184"/>
      <c r="H146" s="1184"/>
      <c r="I146" s="1184"/>
      <c r="J146" s="1184"/>
      <c r="K146" s="1185"/>
      <c r="L146" s="216"/>
    </row>
    <row r="147" spans="1:33" s="218" customFormat="1" ht="12.75" customHeight="1">
      <c r="B147" s="1177"/>
      <c r="C147" s="1182"/>
      <c r="D147" s="629"/>
      <c r="E147" s="1183"/>
      <c r="F147" s="630" t="s">
        <v>65</v>
      </c>
      <c r="G147" s="1184" t="s">
        <v>120</v>
      </c>
      <c r="H147" s="1184"/>
      <c r="I147" s="630" t="s">
        <v>65</v>
      </c>
      <c r="J147" s="1184" t="s">
        <v>120</v>
      </c>
      <c r="K147" s="1185"/>
      <c r="L147" s="216"/>
    </row>
    <row r="148" spans="1:33" s="218" customFormat="1" ht="52.5" customHeight="1">
      <c r="B148" s="1177"/>
      <c r="C148" s="628" t="s">
        <v>12</v>
      </c>
      <c r="D148" s="632" t="s">
        <v>116</v>
      </c>
      <c r="E148" s="446">
        <v>1000000</v>
      </c>
      <c r="F148" s="647">
        <v>80</v>
      </c>
      <c r="G148" s="1136">
        <v>80000</v>
      </c>
      <c r="H148" s="1136"/>
      <c r="I148" s="625" t="s">
        <v>74</v>
      </c>
      <c r="J148" s="1179" t="s">
        <v>74</v>
      </c>
      <c r="K148" s="1180"/>
      <c r="L148" s="216"/>
    </row>
    <row r="149" spans="1:33" s="218" customFormat="1" ht="37.5" customHeight="1">
      <c r="B149" s="1177"/>
      <c r="C149" s="628" t="s">
        <v>121</v>
      </c>
      <c r="D149" s="622" t="s">
        <v>122</v>
      </c>
      <c r="E149" s="633">
        <v>500000</v>
      </c>
      <c r="F149" s="646">
        <v>80</v>
      </c>
      <c r="G149" s="1189">
        <v>40000</v>
      </c>
      <c r="H149" s="1189"/>
      <c r="I149" s="648">
        <v>85</v>
      </c>
      <c r="J149" s="1189">
        <v>42500</v>
      </c>
      <c r="K149" s="1190"/>
      <c r="L149" s="216"/>
    </row>
    <row r="150" spans="1:33" s="218" customFormat="1" ht="37.5" customHeight="1">
      <c r="B150" s="1178"/>
      <c r="C150" s="631" t="s">
        <v>32</v>
      </c>
      <c r="D150" s="623" t="s">
        <v>153</v>
      </c>
      <c r="E150" s="213">
        <v>500000</v>
      </c>
      <c r="F150" s="624">
        <v>80</v>
      </c>
      <c r="G150" s="1138">
        <v>40000</v>
      </c>
      <c r="H150" s="1138"/>
      <c r="I150" s="649">
        <v>100</v>
      </c>
      <c r="J150" s="1138">
        <v>50000</v>
      </c>
      <c r="K150" s="1181"/>
      <c r="L150" s="216"/>
    </row>
    <row r="151" spans="1:33" s="186" customFormat="1" ht="12.75" customHeight="1">
      <c r="A151" s="218"/>
      <c r="B151" s="272"/>
      <c r="C151" s="222" t="str">
        <f>IF('Język - Language'!$B$30="Polski","¹ Ceny dotyczą rozliczenia vCPM po statystykach wewnętrznych WPM. W przypadku rozliczenia po statystykach zewnętrznych dopłata +20%. ","¹ The above prices concern the vCPM settlement according to the internal statistics of WPM. In case of settlement based on external statistics, the +20 % extra charge applies.")</f>
        <v xml:space="preserve">¹ Ceny dotyczą rozliczenia vCPM po statystykach wewnętrznych WPM. W przypadku rozliczenia po statystykach zewnętrznych dopłata +20%. </v>
      </c>
      <c r="D151" s="216"/>
      <c r="E151" s="216"/>
      <c r="F151" s="216"/>
      <c r="G151" s="216"/>
      <c r="H151" s="216"/>
      <c r="I151" s="216"/>
      <c r="J151" s="216"/>
      <c r="K151" s="216"/>
      <c r="L151" s="216"/>
      <c r="M151" s="216"/>
      <c r="N151" s="216"/>
      <c r="O151" s="216"/>
      <c r="P151" s="216"/>
      <c r="Q151" s="216"/>
      <c r="R151" s="216"/>
      <c r="S151" s="216"/>
      <c r="T151" s="216"/>
      <c r="U151" s="216"/>
      <c r="V151" s="216"/>
      <c r="W151" s="216"/>
      <c r="X151" s="216"/>
      <c r="Y151" s="216"/>
      <c r="Z151" s="216"/>
      <c r="AA151" s="216"/>
      <c r="AB151" s="216"/>
      <c r="AC151" s="216"/>
      <c r="AD151" s="216"/>
      <c r="AE151" s="216"/>
      <c r="AF151" s="216"/>
      <c r="AG151" s="216"/>
    </row>
    <row r="152" spans="1:33" s="218" customFormat="1" ht="12.75" customHeight="1">
      <c r="B152" s="270"/>
      <c r="C152" s="416" t="s">
        <v>193</v>
      </c>
      <c r="D152" s="216"/>
      <c r="E152" s="216"/>
      <c r="F152" s="216"/>
      <c r="G152" s="216"/>
      <c r="H152" s="216"/>
      <c r="I152" s="216"/>
      <c r="J152" s="216"/>
      <c r="K152" s="216"/>
      <c r="L152" s="216"/>
      <c r="M152" s="216"/>
      <c r="N152" s="216"/>
      <c r="O152" s="216"/>
      <c r="P152" s="216"/>
      <c r="Q152" s="216"/>
      <c r="R152" s="216"/>
      <c r="S152" s="216"/>
      <c r="T152" s="216"/>
      <c r="U152" s="216"/>
      <c r="V152" s="216"/>
      <c r="W152" s="216"/>
      <c r="X152" s="216"/>
      <c r="Y152" s="216"/>
      <c r="Z152" s="216"/>
      <c r="AA152" s="216"/>
      <c r="AB152" s="216"/>
      <c r="AC152" s="216"/>
      <c r="AD152" s="216"/>
      <c r="AE152" s="216"/>
      <c r="AF152" s="216"/>
      <c r="AG152" s="216"/>
    </row>
    <row r="153" spans="1:33" s="218" customFormat="1" ht="12.75" customHeight="1">
      <c r="B153" s="270"/>
      <c r="C153" s="416" t="s">
        <v>192</v>
      </c>
      <c r="D153" s="216"/>
      <c r="E153" s="216"/>
      <c r="F153" s="216"/>
      <c r="G153" s="216"/>
      <c r="H153" s="216"/>
      <c r="I153" s="216"/>
      <c r="J153" s="216"/>
      <c r="K153" s="216"/>
      <c r="L153" s="216"/>
      <c r="M153" s="216"/>
      <c r="N153" s="216"/>
      <c r="O153" s="216"/>
      <c r="P153" s="216"/>
      <c r="Q153" s="216"/>
      <c r="R153" s="216"/>
      <c r="S153" s="216"/>
      <c r="T153" s="216"/>
      <c r="U153" s="216"/>
      <c r="V153" s="216"/>
      <c r="W153" s="216"/>
      <c r="X153" s="216"/>
      <c r="Y153" s="216"/>
      <c r="Z153" s="216"/>
      <c r="AA153" s="216"/>
      <c r="AB153" s="216"/>
      <c r="AC153" s="216"/>
      <c r="AD153" s="216"/>
      <c r="AE153" s="216"/>
      <c r="AF153" s="216"/>
      <c r="AG153" s="216"/>
    </row>
    <row r="154" spans="1:33" s="218" customFormat="1" ht="12.75" customHeight="1">
      <c r="B154" s="270"/>
      <c r="C154" s="416" t="str">
        <f>IF('Język - Language'!$B$30="Polski","⁴ za wyjątkiem Halfpage'a","⁴ +100% extra charge to the price of the selected category in case of site Pudelek.pl.")</f>
        <v>⁴ za wyjątkiem Halfpage'a</v>
      </c>
      <c r="D154" s="216"/>
      <c r="E154" s="216"/>
      <c r="F154" s="216"/>
      <c r="G154" s="216"/>
      <c r="H154" s="216"/>
      <c r="I154" s="216"/>
      <c r="J154" s="216"/>
      <c r="K154" s="216"/>
      <c r="L154" s="216"/>
      <c r="M154" s="216"/>
      <c r="N154" s="216"/>
      <c r="O154" s="216"/>
      <c r="P154" s="216"/>
      <c r="Q154" s="216"/>
      <c r="R154" s="216"/>
      <c r="S154" s="216"/>
      <c r="T154" s="216"/>
      <c r="U154" s="216"/>
      <c r="V154" s="216"/>
      <c r="W154" s="216"/>
      <c r="X154" s="216"/>
      <c r="Y154" s="216"/>
      <c r="Z154" s="216"/>
      <c r="AA154" s="216"/>
      <c r="AB154" s="216"/>
      <c r="AC154" s="216"/>
      <c r="AD154" s="216"/>
      <c r="AE154" s="216"/>
      <c r="AF154" s="216"/>
      <c r="AG154" s="216"/>
    </row>
    <row r="155" spans="1:33" s="218" customFormat="1" ht="12.75" customHeight="1">
      <c r="B155" s="270"/>
      <c r="C155" s="416" t="s">
        <v>269</v>
      </c>
      <c r="D155" s="216"/>
      <c r="E155" s="216"/>
      <c r="F155" s="216"/>
      <c r="G155" s="216"/>
      <c r="H155" s="216"/>
      <c r="I155" s="216"/>
      <c r="J155" s="216"/>
      <c r="K155" s="216"/>
      <c r="L155" s="216"/>
      <c r="M155" s="216"/>
      <c r="N155" s="216"/>
      <c r="O155" s="216"/>
      <c r="P155" s="216"/>
      <c r="Q155" s="216"/>
      <c r="R155" s="216"/>
      <c r="S155" s="216"/>
      <c r="T155" s="216"/>
      <c r="U155" s="216"/>
      <c r="V155" s="216"/>
      <c r="W155" s="216"/>
      <c r="X155" s="216"/>
      <c r="Y155" s="216"/>
      <c r="Z155" s="216"/>
      <c r="AA155" s="216"/>
      <c r="AB155" s="216"/>
      <c r="AC155" s="216"/>
      <c r="AD155" s="216"/>
      <c r="AE155" s="216"/>
      <c r="AF155" s="216"/>
      <c r="AG155" s="216"/>
    </row>
    <row r="156" spans="1:33" s="218" customFormat="1" ht="12.75" customHeight="1">
      <c r="B156" s="270"/>
      <c r="C156" s="416" t="s">
        <v>270</v>
      </c>
      <c r="D156" s="216"/>
      <c r="E156" s="216"/>
      <c r="F156" s="216"/>
      <c r="G156" s="216"/>
      <c r="H156" s="216"/>
      <c r="I156" s="216"/>
      <c r="J156" s="216"/>
      <c r="K156" s="216"/>
      <c r="L156" s="216"/>
      <c r="M156" s="216"/>
      <c r="N156" s="216"/>
      <c r="O156" s="216"/>
      <c r="P156" s="216"/>
      <c r="Q156" s="216"/>
      <c r="R156" s="216"/>
      <c r="S156" s="216"/>
      <c r="T156" s="216"/>
      <c r="U156" s="216"/>
      <c r="V156" s="216"/>
      <c r="W156" s="216"/>
      <c r="X156" s="216"/>
      <c r="Y156" s="216"/>
      <c r="Z156" s="216"/>
      <c r="AA156" s="216"/>
      <c r="AB156" s="216"/>
      <c r="AC156" s="216"/>
      <c r="AD156" s="216"/>
      <c r="AE156" s="216"/>
      <c r="AF156" s="216"/>
      <c r="AG156" s="216"/>
    </row>
    <row r="157" spans="1:33" s="218" customFormat="1" ht="12.75" customHeight="1">
      <c r="B157" s="270"/>
      <c r="C157" s="216"/>
      <c r="D157" s="216"/>
      <c r="E157" s="216"/>
      <c r="F157" s="216"/>
      <c r="G157" s="216"/>
      <c r="H157" s="216"/>
      <c r="I157" s="216"/>
      <c r="J157" s="216"/>
      <c r="K157" s="216"/>
      <c r="L157" s="216"/>
      <c r="M157" s="216"/>
      <c r="N157" s="216"/>
      <c r="O157" s="216"/>
      <c r="P157" s="216"/>
      <c r="Q157" s="216"/>
      <c r="R157" s="216"/>
      <c r="S157" s="216"/>
      <c r="T157" s="216"/>
      <c r="U157" s="216"/>
      <c r="V157" s="216"/>
      <c r="W157" s="216"/>
      <c r="X157" s="216"/>
      <c r="Y157" s="216"/>
      <c r="Z157" s="216"/>
      <c r="AA157" s="216"/>
      <c r="AB157" s="216"/>
      <c r="AC157" s="216"/>
      <c r="AD157" s="216"/>
      <c r="AE157" s="216"/>
      <c r="AF157" s="216"/>
      <c r="AG157" s="216"/>
    </row>
    <row r="158" spans="1:33" s="218" customFormat="1" ht="12.75" customHeight="1">
      <c r="B158" s="270"/>
      <c r="C158" s="271"/>
      <c r="D158" s="216"/>
      <c r="E158" s="216"/>
      <c r="F158" s="216"/>
      <c r="G158" s="216"/>
      <c r="H158" s="216"/>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c r="AG158" s="216"/>
    </row>
    <row r="159" spans="1:33">
      <c r="A159" s="218"/>
      <c r="B159" s="218"/>
      <c r="C159" s="231"/>
      <c r="D159" s="231"/>
      <c r="E159" s="261"/>
      <c r="F159" s="261"/>
      <c r="G159" s="261"/>
      <c r="H159" s="261"/>
      <c r="I159" s="261"/>
      <c r="J159" s="231"/>
      <c r="K159" s="218"/>
      <c r="L159" s="218"/>
      <c r="M159" s="454"/>
    </row>
    <row r="160" spans="1:33" s="105" customFormat="1">
      <c r="A160" s="218"/>
      <c r="B160" s="218"/>
      <c r="C160" s="165"/>
      <c r="D160" s="165"/>
      <c r="E160" s="261"/>
      <c r="F160" s="261"/>
      <c r="G160" s="261"/>
      <c r="H160" s="261"/>
      <c r="I160" s="261"/>
      <c r="J160" s="231"/>
      <c r="K160" s="218"/>
      <c r="L160" s="218"/>
      <c r="M160" s="251"/>
      <c r="Q160" s="218"/>
    </row>
    <row r="161" spans="1:17" s="105" customFormat="1" ht="12.75" customHeight="1">
      <c r="A161" s="218"/>
      <c r="B161" s="216"/>
      <c r="C161" s="171"/>
      <c r="D161" s="253"/>
      <c r="E161" s="253"/>
      <c r="F161" s="170"/>
      <c r="G161" s="170"/>
      <c r="H161" s="169"/>
      <c r="I161" s="169"/>
      <c r="J161" s="169"/>
      <c r="K161" s="218"/>
      <c r="L161" s="251"/>
      <c r="M161" s="218"/>
      <c r="Q161" s="218"/>
    </row>
    <row r="162" spans="1:17" s="105" customFormat="1">
      <c r="A162" s="218"/>
      <c r="B162" s="218"/>
      <c r="C162" s="165"/>
      <c r="D162" s="165"/>
      <c r="E162" s="261"/>
      <c r="F162" s="261"/>
      <c r="G162" s="261"/>
      <c r="H162" s="261"/>
      <c r="I162" s="261"/>
      <c r="J162" s="231"/>
      <c r="K162" s="218"/>
      <c r="L162" s="218"/>
      <c r="M162" s="251"/>
      <c r="Q162" s="218"/>
    </row>
  </sheetData>
  <mergeCells count="114">
    <mergeCell ref="O1:U3"/>
    <mergeCell ref="P12:U12"/>
    <mergeCell ref="F139:G140"/>
    <mergeCell ref="F142:G142"/>
    <mergeCell ref="B145:B150"/>
    <mergeCell ref="J148:K148"/>
    <mergeCell ref="J150:K150"/>
    <mergeCell ref="F143:G143"/>
    <mergeCell ref="H139:I140"/>
    <mergeCell ref="F141:K141"/>
    <mergeCell ref="H142:I142"/>
    <mergeCell ref="H143:I143"/>
    <mergeCell ref="C145:C147"/>
    <mergeCell ref="E145:E147"/>
    <mergeCell ref="F146:K146"/>
    <mergeCell ref="J140:K140"/>
    <mergeCell ref="F145:H145"/>
    <mergeCell ref="I145:K145"/>
    <mergeCell ref="G147:H147"/>
    <mergeCell ref="J147:K147"/>
    <mergeCell ref="G148:H148"/>
    <mergeCell ref="G149:H149"/>
    <mergeCell ref="G150:H150"/>
    <mergeCell ref="J149:K149"/>
    <mergeCell ref="T13:U13"/>
    <mergeCell ref="N13:O13"/>
    <mergeCell ref="P8:Q9"/>
    <mergeCell ref="H13:I13"/>
    <mergeCell ref="D92:E92"/>
    <mergeCell ref="F13:G13"/>
    <mergeCell ref="D69:E69"/>
    <mergeCell ref="D79:E79"/>
    <mergeCell ref="D46:E46"/>
    <mergeCell ref="R8:S9"/>
    <mergeCell ref="P13:Q13"/>
    <mergeCell ref="R13:S13"/>
    <mergeCell ref="T8:U9"/>
    <mergeCell ref="L13:M13"/>
    <mergeCell ref="L8:M9"/>
    <mergeCell ref="D18:E18"/>
    <mergeCell ref="N8:O8"/>
    <mergeCell ref="N9:O9"/>
    <mergeCell ref="F12:O12"/>
    <mergeCell ref="N10:O11"/>
    <mergeCell ref="J10:K11"/>
    <mergeCell ref="L10:M11"/>
    <mergeCell ref="J13:K13"/>
    <mergeCell ref="J8:K8"/>
    <mergeCell ref="B15:B109"/>
    <mergeCell ref="D22:E22"/>
    <mergeCell ref="D29:E29"/>
    <mergeCell ref="J9:K9"/>
    <mergeCell ref="D108:E108"/>
    <mergeCell ref="D109:E109"/>
    <mergeCell ref="C19:C22"/>
    <mergeCell ref="D15:E15"/>
    <mergeCell ref="H8:I9"/>
    <mergeCell ref="C93:C108"/>
    <mergeCell ref="C30:C33"/>
    <mergeCell ref="C34:C46"/>
    <mergeCell ref="D61:E61"/>
    <mergeCell ref="D33:E33"/>
    <mergeCell ref="C118:D123"/>
    <mergeCell ref="C62:C69"/>
    <mergeCell ref="C47:C61"/>
    <mergeCell ref="C8:C14"/>
    <mergeCell ref="F10:G11"/>
    <mergeCell ref="F8:G9"/>
    <mergeCell ref="D17:E17"/>
    <mergeCell ref="H10:I11"/>
    <mergeCell ref="D8:E14"/>
    <mergeCell ref="C80:C92"/>
    <mergeCell ref="C76:C79"/>
    <mergeCell ref="C70:C75"/>
    <mergeCell ref="D16:E16"/>
    <mergeCell ref="C23:C29"/>
    <mergeCell ref="D75:E75"/>
    <mergeCell ref="B124:B137"/>
    <mergeCell ref="B139:B143"/>
    <mergeCell ref="F123:K123"/>
    <mergeCell ref="F122:K122"/>
    <mergeCell ref="E139:E141"/>
    <mergeCell ref="C139:C141"/>
    <mergeCell ref="J142:K142"/>
    <mergeCell ref="J143:K143"/>
    <mergeCell ref="C142:C143"/>
    <mergeCell ref="D142:D143"/>
    <mergeCell ref="C124:C132"/>
    <mergeCell ref="J139:K139"/>
    <mergeCell ref="E118:E123"/>
    <mergeCell ref="I118:K119"/>
    <mergeCell ref="I120:K121"/>
    <mergeCell ref="F131:H131"/>
    <mergeCell ref="F132:H132"/>
    <mergeCell ref="F133:H133"/>
    <mergeCell ref="F134:H134"/>
    <mergeCell ref="F135:H135"/>
    <mergeCell ref="F136:H136"/>
    <mergeCell ref="F137:H137"/>
    <mergeCell ref="I124:K131"/>
    <mergeCell ref="I133:K133"/>
    <mergeCell ref="I134:K134"/>
    <mergeCell ref="I135:K135"/>
    <mergeCell ref="I136:K136"/>
    <mergeCell ref="I137:K137"/>
    <mergeCell ref="F118:H119"/>
    <mergeCell ref="F120:H121"/>
    <mergeCell ref="F124:H124"/>
    <mergeCell ref="F125:H125"/>
    <mergeCell ref="F126:H126"/>
    <mergeCell ref="F127:H127"/>
    <mergeCell ref="F128:H128"/>
    <mergeCell ref="F129:H129"/>
    <mergeCell ref="F130:H130"/>
  </mergeCells>
  <pageMargins left="0.7" right="0.7" top="0.75" bottom="0.75" header="0.3" footer="0.3"/>
  <pageSetup paperSize="256" scale="55"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9">
    <pageSetUpPr fitToPage="1"/>
  </sheetPr>
  <dimension ref="A1:P128"/>
  <sheetViews>
    <sheetView zoomScaleNormal="100" workbookViewId="0">
      <pane ySplit="4" topLeftCell="A5" activePane="bottomLeft" state="frozen"/>
      <selection activeCell="N1" sqref="N1:S3"/>
      <selection pane="bottomLeft" activeCell="A6" sqref="A6"/>
    </sheetView>
  </sheetViews>
  <sheetFormatPr defaultColWidth="15.42578125" defaultRowHeight="12.75"/>
  <cols>
    <col min="1" max="1" width="2.85546875" style="218" customWidth="1"/>
    <col min="2" max="2" width="2.85546875" style="2" customWidth="1"/>
    <col min="3" max="3" width="22.85546875" style="2" customWidth="1"/>
    <col min="4" max="4" width="35" style="2" customWidth="1"/>
    <col min="5" max="5" width="15" style="45" customWidth="1"/>
    <col min="6" max="6" width="15" style="218" customWidth="1"/>
    <col min="7" max="7" width="15" style="45" customWidth="1"/>
    <col min="8" max="12" width="15" style="218" customWidth="1"/>
    <col min="13" max="13" width="15" style="47" customWidth="1"/>
    <col min="14" max="14" width="15" style="218" customWidth="1"/>
    <col min="15" max="16" width="15" style="2" customWidth="1"/>
    <col min="17" max="16384" width="15.42578125" style="2"/>
  </cols>
  <sheetData>
    <row r="1" spans="1:16" ht="12.75" customHeight="1">
      <c r="B1" s="218"/>
      <c r="C1" s="218"/>
      <c r="D1" s="218"/>
      <c r="G1" s="220"/>
      <c r="H1" s="220"/>
      <c r="J1" s="220"/>
      <c r="K1" s="220"/>
      <c r="L1" s="881" t="str">
        <f>IF('Język - Language'!$B$30="Polski",CONCATENATE("Cennik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M1" s="881"/>
      <c r="N1" s="881"/>
      <c r="O1" s="881"/>
      <c r="P1" s="881"/>
    </row>
    <row r="2" spans="1:16" ht="12.75" customHeight="1">
      <c r="B2" s="218"/>
      <c r="C2" s="218"/>
      <c r="D2" s="241"/>
      <c r="E2" s="220"/>
      <c r="F2" s="220"/>
      <c r="G2" s="220"/>
      <c r="H2" s="220"/>
      <c r="I2" s="220"/>
      <c r="J2" s="220"/>
      <c r="K2" s="220"/>
      <c r="L2" s="881"/>
      <c r="M2" s="881"/>
      <c r="N2" s="881"/>
      <c r="O2" s="881"/>
      <c r="P2" s="881"/>
    </row>
    <row r="3" spans="1:16" ht="12.75" customHeight="1">
      <c r="B3" s="218"/>
      <c r="C3" s="218"/>
      <c r="D3" s="241"/>
      <c r="E3" s="220"/>
      <c r="F3" s="220"/>
      <c r="G3" s="220"/>
      <c r="H3" s="220"/>
      <c r="I3" s="220"/>
      <c r="J3" s="220"/>
      <c r="K3" s="220"/>
      <c r="L3" s="881"/>
      <c r="M3" s="881"/>
      <c r="N3" s="881"/>
      <c r="O3" s="881"/>
      <c r="P3" s="881"/>
    </row>
    <row r="4" spans="1:16" s="32" customFormat="1" ht="12.75" customHeight="1">
      <c r="A4" s="221"/>
      <c r="B4" s="221"/>
      <c r="C4" s="33" t="str">
        <f>IF('Język - Language'!$B$30="Polski","            Oferta Wideo","             Video")</f>
        <v xml:space="preserve">            Oferta Wideo</v>
      </c>
      <c r="D4" s="221"/>
      <c r="E4" s="221"/>
      <c r="F4" s="221"/>
      <c r="H4" s="221"/>
      <c r="I4" s="221"/>
      <c r="J4" s="221"/>
      <c r="K4" s="221"/>
      <c r="L4" s="221"/>
      <c r="M4" s="221"/>
    </row>
    <row r="5" spans="1:16" ht="12.75" customHeight="1">
      <c r="B5" s="218"/>
      <c r="C5" s="218"/>
      <c r="D5" s="218"/>
      <c r="E5" s="218"/>
      <c r="G5" s="218"/>
      <c r="M5" s="218"/>
      <c r="O5" s="218"/>
    </row>
    <row r="6" spans="1:16" s="84" customFormat="1" ht="12.75" customHeight="1">
      <c r="A6" s="218"/>
      <c r="B6" s="218"/>
      <c r="C6" s="218"/>
      <c r="D6" s="218"/>
      <c r="E6" s="216"/>
      <c r="F6" s="216"/>
      <c r="G6" s="216"/>
      <c r="H6" s="216"/>
      <c r="I6" s="216"/>
      <c r="J6" s="216"/>
      <c r="K6" s="216"/>
      <c r="L6" s="216"/>
      <c r="M6" s="216"/>
      <c r="N6" s="216"/>
      <c r="O6" s="216"/>
      <c r="P6" s="216"/>
    </row>
    <row r="7" spans="1:16" ht="25.5" customHeight="1">
      <c r="B7" s="216"/>
      <c r="C7" s="1200" t="str">
        <f>IF('Język - Language'!$B$30="Polski","PAKIET","PACKAGE")</f>
        <v>PAKIET</v>
      </c>
      <c r="D7" s="1202" t="str">
        <f>IF('Język - Language'!$B$30="Polski","MIEJSCE EMISJI","PLACE OF EMISSION")</f>
        <v>MIEJSCE EMISJI</v>
      </c>
      <c r="E7" s="1191" t="s">
        <v>169</v>
      </c>
      <c r="F7" s="1192"/>
      <c r="G7" s="1194"/>
      <c r="H7" s="1191" t="s">
        <v>206</v>
      </c>
      <c r="I7" s="1192"/>
      <c r="J7" s="1194"/>
      <c r="K7" s="1191" t="s">
        <v>170</v>
      </c>
      <c r="L7" s="1192"/>
      <c r="M7" s="1194"/>
      <c r="N7" s="1191" t="s">
        <v>207</v>
      </c>
      <c r="O7" s="1192"/>
      <c r="P7" s="1193"/>
    </row>
    <row r="8" spans="1:16" ht="25.5" customHeight="1">
      <c r="B8" s="216"/>
      <c r="C8" s="1201"/>
      <c r="D8" s="1203"/>
      <c r="E8" s="204" t="s">
        <v>127</v>
      </c>
      <c r="F8" s="204" t="s">
        <v>45</v>
      </c>
      <c r="G8" s="204" t="s">
        <v>46</v>
      </c>
      <c r="H8" s="204" t="s">
        <v>127</v>
      </c>
      <c r="I8" s="204" t="s">
        <v>45</v>
      </c>
      <c r="J8" s="204" t="s">
        <v>46</v>
      </c>
      <c r="K8" s="204" t="s">
        <v>127</v>
      </c>
      <c r="L8" s="204" t="s">
        <v>45</v>
      </c>
      <c r="M8" s="204" t="s">
        <v>46</v>
      </c>
      <c r="N8" s="204" t="s">
        <v>127</v>
      </c>
      <c r="O8" s="204" t="s">
        <v>45</v>
      </c>
      <c r="P8" s="204" t="s">
        <v>46</v>
      </c>
    </row>
    <row r="9" spans="1:16" ht="45" customHeight="1">
      <c r="B9" s="1116" t="str">
        <f>IF('Język - Language'!$B$30="Polski","EMISJA ODSŁONOWA","CPM EMISSION")</f>
        <v>EMISJA ODSŁONOWA</v>
      </c>
      <c r="C9" s="230" t="s">
        <v>80</v>
      </c>
      <c r="D9" s="225" t="str">
        <f>IF('Język - Language'!$B$30="Polski","WPM Zasięg (bez stron głównych o2 i WP oraz bez serwisów pocztowych)","WPM Reach (without o2 HP, WP HP and e-mail services)")</f>
        <v>WPM Zasięg (bez stron głównych o2 i WP oraz bez serwisów pocztowych)</v>
      </c>
      <c r="E9" s="468">
        <v>0.01</v>
      </c>
      <c r="F9" s="536">
        <v>0.02</v>
      </c>
      <c r="G9" s="469">
        <v>0.03</v>
      </c>
      <c r="H9" s="468">
        <v>0.01</v>
      </c>
      <c r="I9" s="1195">
        <v>0.02</v>
      </c>
      <c r="J9" s="1196"/>
      <c r="K9" s="468">
        <v>8</v>
      </c>
      <c r="L9" s="536">
        <v>13</v>
      </c>
      <c r="M9" s="469">
        <v>20</v>
      </c>
      <c r="N9" s="490">
        <v>6</v>
      </c>
      <c r="O9" s="488">
        <v>10</v>
      </c>
      <c r="P9" s="489">
        <v>15</v>
      </c>
    </row>
    <row r="10" spans="1:16" s="218" customFormat="1" ht="45" customHeight="1">
      <c r="B10" s="1116"/>
      <c r="C10" s="541" t="str">
        <f>IF('Język - Language'!$B$30="Polski","WIDEO I AUDIO - SPOTY INTERAKTYWNE","VIDEO AND AUDIO - INTERACTIVE SPOTS")</f>
        <v>WIDEO I AUDIO - SPOTY INTERAKTYWNE</v>
      </c>
      <c r="D10" s="250" t="str">
        <f>'Serwisy &amp; Pakiety'!D79:E79</f>
        <v>WP Pilot, WP Wideo, OpenFM</v>
      </c>
      <c r="E10" s="537" t="s">
        <v>35</v>
      </c>
      <c r="F10" s="470" t="s">
        <v>210</v>
      </c>
      <c r="G10" s="471" t="s">
        <v>211</v>
      </c>
      <c r="H10" s="537" t="s">
        <v>35</v>
      </c>
      <c r="I10" s="470" t="s">
        <v>212</v>
      </c>
      <c r="J10" s="471" t="s">
        <v>210</v>
      </c>
      <c r="K10" s="537" t="s">
        <v>35</v>
      </c>
      <c r="L10" s="470" t="s">
        <v>198</v>
      </c>
      <c r="M10" s="471" t="s">
        <v>199</v>
      </c>
      <c r="N10" s="538" t="s">
        <v>35</v>
      </c>
      <c r="O10" s="470" t="s">
        <v>200</v>
      </c>
      <c r="P10" s="471" t="s">
        <v>201</v>
      </c>
    </row>
    <row r="11" spans="1:16" s="218" customFormat="1" ht="12.75" customHeight="1">
      <c r="B11" s="419"/>
      <c r="C11" s="233" t="s">
        <v>203</v>
      </c>
      <c r="D11" s="544"/>
      <c r="E11" s="418"/>
      <c r="F11" s="418"/>
      <c r="G11" s="418"/>
      <c r="H11" s="418"/>
      <c r="I11" s="418"/>
      <c r="J11" s="418"/>
      <c r="K11" s="418"/>
      <c r="L11" s="418"/>
    </row>
    <row r="12" spans="1:16" s="218" customFormat="1" ht="12.75" customHeight="1">
      <c r="B12" s="543"/>
      <c r="C12" s="550" t="s">
        <v>216</v>
      </c>
      <c r="D12" s="551"/>
      <c r="E12" s="418"/>
      <c r="F12" s="418"/>
      <c r="G12" s="418"/>
      <c r="H12" s="418"/>
      <c r="I12" s="418"/>
      <c r="J12" s="418"/>
      <c r="K12" s="418"/>
      <c r="L12" s="418"/>
    </row>
    <row r="13" spans="1:16" s="724" customFormat="1" ht="12.75" customHeight="1">
      <c r="B13" s="543"/>
      <c r="C13" s="550"/>
      <c r="D13" s="551"/>
      <c r="E13" s="418"/>
      <c r="F13" s="418"/>
      <c r="G13" s="418"/>
      <c r="H13" s="418"/>
      <c r="I13" s="418"/>
      <c r="J13" s="418"/>
      <c r="K13" s="418"/>
      <c r="L13" s="418"/>
    </row>
    <row r="14" spans="1:16" s="724" customFormat="1" ht="12.75" customHeight="1">
      <c r="B14" s="1116" t="s">
        <v>394</v>
      </c>
      <c r="C14" s="1210" t="s">
        <v>395</v>
      </c>
      <c r="D14" s="1210"/>
      <c r="E14" s="1210"/>
      <c r="F14" s="1210"/>
      <c r="G14" s="1210"/>
      <c r="H14" s="1210"/>
      <c r="I14" s="418"/>
      <c r="J14" s="418"/>
      <c r="K14" s="418"/>
      <c r="L14" s="418"/>
    </row>
    <row r="15" spans="1:16" s="724" customFormat="1" ht="30" customHeight="1">
      <c r="B15" s="1116"/>
      <c r="C15" s="1211" t="s">
        <v>393</v>
      </c>
      <c r="D15" s="1211"/>
      <c r="E15" s="1211"/>
      <c r="F15" s="1211"/>
      <c r="G15" s="1211"/>
      <c r="H15" s="1211"/>
      <c r="I15" s="418"/>
      <c r="J15" s="418"/>
      <c r="K15" s="418"/>
      <c r="L15" s="418"/>
    </row>
    <row r="16" spans="1:16" s="724" customFormat="1" ht="15" customHeight="1">
      <c r="B16" s="1116"/>
      <c r="C16" s="981" t="s">
        <v>368</v>
      </c>
      <c r="D16" s="981"/>
      <c r="E16" s="986"/>
      <c r="F16" s="725"/>
      <c r="G16" s="1197" t="s">
        <v>368</v>
      </c>
      <c r="H16" s="1198"/>
      <c r="I16" s="418"/>
      <c r="J16" s="418"/>
      <c r="K16" s="418"/>
      <c r="L16" s="418"/>
    </row>
    <row r="17" spans="2:14" s="724" customFormat="1" ht="15" customHeight="1">
      <c r="B17" s="1116"/>
      <c r="C17" s="867" t="s">
        <v>369</v>
      </c>
      <c r="D17" s="867" t="s">
        <v>370</v>
      </c>
      <c r="E17" s="867" t="s">
        <v>392</v>
      </c>
      <c r="F17" s="860"/>
      <c r="G17" s="867" t="s">
        <v>369</v>
      </c>
      <c r="H17" s="867" t="s">
        <v>392</v>
      </c>
      <c r="I17" s="418"/>
      <c r="J17" s="418"/>
      <c r="K17" s="418"/>
      <c r="L17" s="418"/>
    </row>
    <row r="18" spans="2:14" s="724" customFormat="1" ht="15" customHeight="1">
      <c r="B18" s="1116"/>
      <c r="C18" s="861" t="s">
        <v>371</v>
      </c>
      <c r="D18" s="1212">
        <v>1</v>
      </c>
      <c r="E18" s="1213" t="s">
        <v>372</v>
      </c>
      <c r="F18" s="862"/>
      <c r="G18" s="863" t="s">
        <v>371</v>
      </c>
      <c r="H18" s="1213" t="s">
        <v>373</v>
      </c>
      <c r="I18" s="418"/>
      <c r="J18" s="418"/>
      <c r="K18" s="418"/>
      <c r="L18" s="418"/>
    </row>
    <row r="19" spans="2:14" s="724" customFormat="1" ht="15" customHeight="1">
      <c r="B19" s="1116"/>
      <c r="C19" s="861" t="s">
        <v>374</v>
      </c>
      <c r="D19" s="1212"/>
      <c r="E19" s="1213"/>
      <c r="F19" s="862"/>
      <c r="G19" s="863" t="s">
        <v>374</v>
      </c>
      <c r="H19" s="1213"/>
      <c r="I19" s="418"/>
      <c r="J19" s="418"/>
      <c r="K19" s="418"/>
      <c r="L19" s="418"/>
    </row>
    <row r="20" spans="2:14" s="724" customFormat="1" ht="15" customHeight="1">
      <c r="B20" s="1116"/>
      <c r="C20" s="861" t="s">
        <v>375</v>
      </c>
      <c r="D20" s="1212"/>
      <c r="E20" s="1213"/>
      <c r="F20" s="862"/>
      <c r="G20" s="863" t="s">
        <v>375</v>
      </c>
      <c r="H20" s="1213"/>
      <c r="I20" s="418"/>
      <c r="J20" s="418"/>
      <c r="K20" s="418"/>
      <c r="L20" s="418"/>
    </row>
    <row r="21" spans="2:14" s="724" customFormat="1" ht="15" customHeight="1">
      <c r="B21" s="1116"/>
      <c r="C21" s="861" t="s">
        <v>376</v>
      </c>
      <c r="D21" s="1212"/>
      <c r="E21" s="1213" t="s">
        <v>377</v>
      </c>
      <c r="F21" s="862"/>
      <c r="G21" s="863" t="s">
        <v>376</v>
      </c>
      <c r="H21" s="1213" t="s">
        <v>378</v>
      </c>
      <c r="I21" s="418"/>
      <c r="J21" s="418"/>
      <c r="K21" s="418"/>
      <c r="L21" s="418"/>
    </row>
    <row r="22" spans="2:14" s="724" customFormat="1" ht="15" customHeight="1">
      <c r="B22" s="1116"/>
      <c r="C22" s="861" t="s">
        <v>379</v>
      </c>
      <c r="D22" s="1212"/>
      <c r="E22" s="1213"/>
      <c r="F22" s="862"/>
      <c r="G22" s="863" t="s">
        <v>379</v>
      </c>
      <c r="H22" s="1213"/>
      <c r="I22" s="418"/>
      <c r="J22" s="418"/>
      <c r="K22" s="418"/>
      <c r="L22" s="418"/>
    </row>
    <row r="23" spans="2:14" s="724" customFormat="1" ht="15" customHeight="1">
      <c r="B23" s="1116"/>
      <c r="C23" s="861" t="s">
        <v>380</v>
      </c>
      <c r="D23" s="1212"/>
      <c r="E23" s="864" t="s">
        <v>381</v>
      </c>
      <c r="F23" s="862"/>
      <c r="G23" s="863" t="s">
        <v>380</v>
      </c>
      <c r="H23" s="865" t="s">
        <v>382</v>
      </c>
      <c r="I23" s="418"/>
      <c r="J23" s="418"/>
      <c r="K23" s="418"/>
      <c r="L23" s="418"/>
    </row>
    <row r="24" spans="2:14" s="724" customFormat="1" ht="15" customHeight="1">
      <c r="B24" s="1116"/>
      <c r="C24" s="861" t="s">
        <v>383</v>
      </c>
      <c r="D24" s="1212"/>
      <c r="E24" s="864" t="s">
        <v>384</v>
      </c>
      <c r="F24" s="862"/>
      <c r="G24" s="863" t="s">
        <v>383</v>
      </c>
      <c r="H24" s="866" t="s">
        <v>385</v>
      </c>
      <c r="I24" s="418"/>
      <c r="J24" s="418"/>
      <c r="K24" s="418"/>
      <c r="L24" s="418"/>
    </row>
    <row r="25" spans="2:14" s="724" customFormat="1" ht="15" customHeight="1">
      <c r="B25" s="1116"/>
      <c r="C25" s="861" t="s">
        <v>386</v>
      </c>
      <c r="D25" s="1212"/>
      <c r="E25" s="864" t="s">
        <v>387</v>
      </c>
      <c r="F25" s="862"/>
      <c r="G25" s="863" t="s">
        <v>386</v>
      </c>
      <c r="H25" s="866" t="s">
        <v>388</v>
      </c>
      <c r="I25" s="418"/>
      <c r="J25" s="418"/>
      <c r="K25" s="418"/>
      <c r="L25" s="418"/>
    </row>
    <row r="26" spans="2:14" s="724" customFormat="1" ht="15" customHeight="1">
      <c r="B26" s="1116"/>
      <c r="C26" s="861" t="s">
        <v>389</v>
      </c>
      <c r="D26" s="1212"/>
      <c r="E26" s="864" t="s">
        <v>390</v>
      </c>
      <c r="F26" s="862"/>
      <c r="G26" s="863" t="s">
        <v>389</v>
      </c>
      <c r="H26" s="866" t="s">
        <v>391</v>
      </c>
      <c r="I26" s="418"/>
      <c r="J26" s="418"/>
      <c r="K26" s="418"/>
      <c r="L26" s="418"/>
    </row>
    <row r="27" spans="2:14" s="724" customFormat="1" ht="12.75" customHeight="1">
      <c r="B27" s="543"/>
      <c r="C27" s="550"/>
      <c r="D27" s="551"/>
      <c r="E27" s="418"/>
      <c r="F27" s="418"/>
      <c r="G27" s="418"/>
      <c r="H27" s="418"/>
      <c r="I27" s="418"/>
      <c r="J27" s="418"/>
      <c r="K27" s="418"/>
      <c r="L27" s="418"/>
    </row>
    <row r="28" spans="2:14" s="724" customFormat="1" ht="12.75" customHeight="1">
      <c r="B28" s="543"/>
      <c r="C28" s="550"/>
      <c r="D28" s="551"/>
      <c r="E28" s="418"/>
      <c r="F28" s="418"/>
      <c r="G28" s="418"/>
      <c r="H28" s="418"/>
      <c r="I28" s="418"/>
      <c r="J28" s="418"/>
      <c r="K28" s="418"/>
      <c r="L28" s="418"/>
    </row>
    <row r="29" spans="2:14" s="218" customFormat="1" ht="12.75" customHeight="1">
      <c r="B29" s="543"/>
      <c r="D29" s="417"/>
      <c r="E29" s="418"/>
      <c r="F29" s="418"/>
      <c r="G29" s="418"/>
      <c r="H29" s="418"/>
      <c r="I29" s="418"/>
      <c r="J29" s="418"/>
      <c r="K29" s="418"/>
      <c r="L29" s="418"/>
    </row>
    <row r="30" spans="2:14" s="218" customFormat="1" ht="37.5" customHeight="1">
      <c r="B30" s="1116" t="s">
        <v>130</v>
      </c>
      <c r="C30" s="1200" t="str">
        <f>IF('Język - Language'!$B$30="Polski","PAKIET","PACKAGE")</f>
        <v>PAKIET</v>
      </c>
      <c r="D30" s="1205" t="str">
        <f>IF('Język - Language'!$B$30="Polski","MIEJSCE EMISJI","PLACE OF EMISSION")</f>
        <v>MIEJSCE EMISJI</v>
      </c>
      <c r="E30" s="1207" t="str">
        <f>IF('Język - Language'!$B$30="Polski","InStream Video Ad CPM, Instream Video Skip Ad CPM (net net)","INSTREAM VIDEO AD CPM, PREROLL SKIP AD CPM (net net)")</f>
        <v>InStream Video Ad CPM, Instream Video Skip Ad CPM (net net)</v>
      </c>
      <c r="F30" s="1208"/>
      <c r="G30" s="1209"/>
      <c r="H30" s="189" t="s">
        <v>233</v>
      </c>
      <c r="I30" s="189" t="s">
        <v>234</v>
      </c>
      <c r="J30" s="423" t="s">
        <v>202</v>
      </c>
      <c r="L30" s="216"/>
      <c r="M30" s="216"/>
      <c r="N30" s="231"/>
    </row>
    <row r="31" spans="2:14" s="218" customFormat="1" ht="25.5" customHeight="1">
      <c r="B31" s="1116"/>
      <c r="C31" s="1204"/>
      <c r="D31" s="1206"/>
      <c r="E31" s="1207" t="str">
        <f>IF('Język - Language'!$B$30="Polski","rozliczenie CPM za rozpoczęte odtworzenia, wg statystyk wewnętrznych WPM²","CPM settlement for started video playbacks, according to internal statistics of WPM²")</f>
        <v>rozliczenie CPM za rozpoczęte odtworzenia, wg statystyk wewnętrznych WPM²</v>
      </c>
      <c r="F31" s="1208"/>
      <c r="G31" s="1209"/>
      <c r="H31" s="421"/>
      <c r="I31" s="580"/>
      <c r="J31" s="422"/>
      <c r="L31" s="416"/>
      <c r="N31" s="231"/>
    </row>
    <row r="32" spans="2:14" s="218" customFormat="1" ht="25.5" customHeight="1">
      <c r="B32" s="1116"/>
      <c r="C32" s="1201"/>
      <c r="D32" s="1203"/>
      <c r="E32" s="206" t="s">
        <v>45</v>
      </c>
      <c r="F32" s="204" t="str">
        <f>IF('Język - Language'!$B$30="Polski",CONCATENATE("30",CHAR(34)," i dłuższy³"),CONCATENATE("30",CHAR(34)," or longer³"))</f>
        <v>30" i dłuższy³</v>
      </c>
      <c r="G32" s="204" t="s">
        <v>135</v>
      </c>
      <c r="H32" s="205" t="s">
        <v>136</v>
      </c>
      <c r="I32" s="205" t="s">
        <v>235</v>
      </c>
      <c r="J32" s="205" t="s">
        <v>136</v>
      </c>
      <c r="L32" s="216"/>
      <c r="M32" s="216"/>
      <c r="N32" s="231"/>
    </row>
    <row r="33" spans="2:15" s="218" customFormat="1" ht="45" customHeight="1">
      <c r="B33" s="1116"/>
      <c r="C33" s="207" t="s">
        <v>80</v>
      </c>
      <c r="D33" s="225" t="str">
        <f>IF('Język - Language'!$B$30="Polski","WPM Zasięg (bez stron głównych o2 i WP oraz bez serwisów pocztowych)","WPM Reach (without o2 HP, WP HP and e-mail services)")</f>
        <v>WPM Zasięg (bez stron głównych o2 i WP oraz bez serwisów pocztowych)</v>
      </c>
      <c r="E33" s="492" t="s">
        <v>35</v>
      </c>
      <c r="F33" s="493" t="s">
        <v>35</v>
      </c>
      <c r="G33" s="545" t="s">
        <v>35</v>
      </c>
      <c r="H33" s="491" t="s">
        <v>35</v>
      </c>
      <c r="I33" s="581" t="s">
        <v>35</v>
      </c>
      <c r="J33" s="379">
        <v>6</v>
      </c>
      <c r="L33" s="216"/>
      <c r="M33" s="216"/>
      <c r="N33" s="416"/>
    </row>
    <row r="34" spans="2:15" s="218" customFormat="1" ht="45" customHeight="1">
      <c r="B34" s="1116"/>
      <c r="C34" s="420" t="s">
        <v>128</v>
      </c>
      <c r="D34" s="380" t="s">
        <v>129</v>
      </c>
      <c r="E34" s="415">
        <v>13</v>
      </c>
      <c r="F34" s="485">
        <v>20</v>
      </c>
      <c r="G34" s="494" t="s">
        <v>35</v>
      </c>
      <c r="H34" s="546" t="s">
        <v>35</v>
      </c>
      <c r="I34" s="530" t="s">
        <v>35</v>
      </c>
      <c r="J34" s="530" t="s">
        <v>35</v>
      </c>
      <c r="L34" s="216"/>
      <c r="M34" s="216"/>
      <c r="N34" s="416"/>
    </row>
    <row r="35" spans="2:15" s="218" customFormat="1" ht="45" customHeight="1">
      <c r="B35" s="1199"/>
      <c r="C35" s="542" t="s">
        <v>97</v>
      </c>
      <c r="D35" s="381" t="s">
        <v>131</v>
      </c>
      <c r="E35" s="497" t="s">
        <v>35</v>
      </c>
      <c r="F35" s="496" t="s">
        <v>35</v>
      </c>
      <c r="G35" s="495" t="s">
        <v>35</v>
      </c>
      <c r="H35" s="461">
        <v>8</v>
      </c>
      <c r="I35" s="461">
        <v>4</v>
      </c>
      <c r="J35" s="530" t="s">
        <v>35</v>
      </c>
      <c r="L35" s="216"/>
      <c r="M35" s="216"/>
      <c r="N35" s="416"/>
    </row>
    <row r="36" spans="2:15">
      <c r="B36" s="218"/>
      <c r="C36" s="550" t="s">
        <v>208</v>
      </c>
      <c r="D36" s="192"/>
      <c r="E36" s="231"/>
      <c r="F36" s="231"/>
      <c r="G36" s="231"/>
      <c r="H36" s="231"/>
      <c r="I36" s="231"/>
      <c r="K36" s="231"/>
      <c r="L36" s="231"/>
      <c r="M36" s="190"/>
      <c r="N36" s="231"/>
      <c r="O36" s="231"/>
    </row>
    <row r="37" spans="2:15" s="218" customFormat="1">
      <c r="C37" s="550"/>
      <c r="D37" s="192"/>
      <c r="E37" s="231"/>
      <c r="F37" s="231"/>
      <c r="G37" s="231"/>
      <c r="H37" s="231"/>
      <c r="I37" s="231"/>
      <c r="K37" s="231"/>
      <c r="L37" s="231"/>
      <c r="M37" s="190"/>
      <c r="N37" s="231"/>
      <c r="O37" s="231"/>
    </row>
    <row r="38" spans="2:15">
      <c r="B38" s="218"/>
      <c r="C38" s="191" t="str">
        <f>IF('Język - Language'!$B$30="Polski","¹ OutStream - dotyczy emisji tylko na wybranych serwisach, niedostępny dla modelu Skip Ad","¹ OutStream - available only in selected sites, not avaible for Skip Ad")</f>
        <v>¹ OutStream - dotyczy emisji tylko na wybranych serwisach, niedostępny dla modelu Skip Ad</v>
      </c>
      <c r="D38" s="1"/>
      <c r="E38" s="218"/>
      <c r="G38" s="218"/>
      <c r="M38" s="218"/>
      <c r="O38" s="231"/>
    </row>
    <row r="39" spans="2:15">
      <c r="B39" s="218"/>
      <c r="C39" s="231" t="str">
        <f>IF('Język - Language'!$B$30="Polski","² W przypadku emisji InStream Video Ad z kodów emisyjnych (nie dotyczy oferty 3x100) dopłata do ceny bazowej +30%. Dopłata ta dopuszcza ewentualną doemisję maksymalnie 30% różnicy pomiędzy statystykami po stronie klienta i po stronie WPM.","² In case of Instream Video Ad broadcast from external codes, the extra charge of 30% applies")</f>
        <v>² W przypadku emisji InStream Video Ad z kodów emisyjnych (nie dotyczy oferty 3x100) dopłata do ceny bazowej +30%. Dopłata ta dopuszcza ewentualną doemisję maksymalnie 30% różnicy pomiędzy statystykami po stronie klienta i po stronie WPM.</v>
      </c>
      <c r="D39" s="218"/>
      <c r="E39" s="218"/>
      <c r="G39" s="218"/>
      <c r="M39" s="218"/>
      <c r="O39" s="218"/>
    </row>
    <row r="40" spans="2:15">
      <c r="B40" s="218"/>
      <c r="C40" s="231" t="str">
        <f>IF('Język - Language'!$B$30="Polski",CONCATENATE("³ InStream Video Ad 30",CHAR(34),"+ tylko w modelu Skip Ad. Dopłata za zwiększenie długości spotu zgodna z poniższą tabelką."),CONCATENATE("³ InStream Video Ad 30",CHAR(34),"+ only for Skip Ad. Surcharge in accordance with the surcharge table."))</f>
        <v>³ InStream Video Ad 30"+ tylko w modelu Skip Ad. Dopłata za zwiększenie długości spotu zgodna z poniższą tabelką.</v>
      </c>
      <c r="D40" s="218"/>
      <c r="E40" s="218"/>
      <c r="G40" s="218"/>
      <c r="M40" s="218"/>
      <c r="O40" s="218"/>
    </row>
    <row r="41" spans="2:15" s="218" customFormat="1">
      <c r="C41" s="156" t="s">
        <v>245</v>
      </c>
    </row>
    <row r="42" spans="2:15" s="218" customFormat="1">
      <c r="C42" s="156" t="s">
        <v>158</v>
      </c>
    </row>
    <row r="43" spans="2:15" s="218" customFormat="1">
      <c r="C43" s="156" t="s">
        <v>166</v>
      </c>
    </row>
    <row r="44" spans="2:15" s="218" customFormat="1">
      <c r="C44" s="156" t="s">
        <v>167</v>
      </c>
    </row>
    <row r="45" spans="2:15" s="218" customFormat="1">
      <c r="C45" s="156" t="s">
        <v>168</v>
      </c>
    </row>
    <row r="46" spans="2:15" s="218" customFormat="1"/>
    <row r="47" spans="2:15">
      <c r="B47" s="218"/>
      <c r="C47" s="156"/>
      <c r="D47" s="218"/>
      <c r="E47" s="218"/>
      <c r="G47" s="218"/>
      <c r="M47" s="218"/>
      <c r="O47" s="218"/>
    </row>
    <row r="48" spans="2:15">
      <c r="B48" s="218"/>
      <c r="C48" s="233" t="s">
        <v>138</v>
      </c>
      <c r="D48" s="218"/>
      <c r="E48" s="218"/>
      <c r="G48" s="218"/>
      <c r="M48" s="218"/>
      <c r="O48" s="218"/>
    </row>
    <row r="49" spans="1:15" ht="15">
      <c r="B49" s="218"/>
      <c r="C49" s="233" t="s">
        <v>139</v>
      </c>
      <c r="D49" s="273"/>
      <c r="E49" s="218"/>
      <c r="G49" s="218"/>
      <c r="M49" s="218"/>
      <c r="O49" s="218"/>
    </row>
    <row r="50" spans="1:15">
      <c r="A50" s="414"/>
      <c r="B50" s="218"/>
      <c r="C50" s="500" t="s">
        <v>209</v>
      </c>
      <c r="D50" s="548"/>
      <c r="E50" s="549"/>
      <c r="F50" s="502"/>
      <c r="G50" s="218"/>
      <c r="M50" s="218"/>
      <c r="O50" s="218"/>
    </row>
    <row r="51" spans="1:15">
      <c r="B51" s="218"/>
      <c r="C51" s="547" t="s">
        <v>174</v>
      </c>
      <c r="D51" s="548"/>
      <c r="E51" s="549"/>
      <c r="F51" s="501" t="s">
        <v>175</v>
      </c>
      <c r="G51" s="218"/>
      <c r="M51" s="218"/>
      <c r="O51" s="218"/>
    </row>
    <row r="52" spans="1:15">
      <c r="B52" s="218"/>
      <c r="C52" s="547" t="s">
        <v>176</v>
      </c>
      <c r="D52" s="548"/>
      <c r="E52" s="549"/>
      <c r="F52" s="501" t="s">
        <v>49</v>
      </c>
      <c r="G52" s="218"/>
      <c r="M52" s="218"/>
      <c r="O52" s="218"/>
    </row>
    <row r="53" spans="1:15">
      <c r="C53" s="547" t="s">
        <v>177</v>
      </c>
      <c r="D53" s="548"/>
      <c r="E53" s="549"/>
      <c r="F53" s="501" t="s">
        <v>52</v>
      </c>
      <c r="G53" s="218"/>
      <c r="M53" s="218"/>
    </row>
    <row r="54" spans="1:15">
      <c r="C54" s="547" t="s">
        <v>178</v>
      </c>
      <c r="D54" s="548"/>
      <c r="E54" s="549"/>
      <c r="F54" s="501" t="s">
        <v>48</v>
      </c>
      <c r="G54" s="218"/>
      <c r="M54" s="218"/>
    </row>
    <row r="55" spans="1:15">
      <c r="C55" s="547" t="s">
        <v>179</v>
      </c>
      <c r="D55" s="548"/>
      <c r="E55" s="549"/>
      <c r="F55" s="501" t="s">
        <v>180</v>
      </c>
      <c r="G55" s="218"/>
      <c r="M55" s="218"/>
    </row>
    <row r="56" spans="1:15">
      <c r="C56" s="547" t="s">
        <v>135</v>
      </c>
      <c r="D56" s="552"/>
      <c r="E56" s="502"/>
      <c r="F56" s="501" t="s">
        <v>47</v>
      </c>
      <c r="G56" s="218"/>
      <c r="M56" s="218"/>
    </row>
    <row r="57" spans="1:15">
      <c r="C57" s="218"/>
      <c r="D57" s="218"/>
      <c r="E57" s="218"/>
      <c r="G57" s="218"/>
      <c r="M57" s="218"/>
    </row>
    <row r="58" spans="1:15">
      <c r="C58" s="218"/>
      <c r="D58" s="218"/>
      <c r="E58" s="218"/>
      <c r="G58" s="218"/>
      <c r="M58" s="218"/>
    </row>
    <row r="59" spans="1:15">
      <c r="C59" s="218"/>
      <c r="D59" s="218"/>
      <c r="E59" s="218"/>
      <c r="G59" s="218"/>
      <c r="M59" s="218"/>
    </row>
    <row r="60" spans="1:15">
      <c r="C60" s="218"/>
      <c r="D60" s="218"/>
      <c r="E60" s="218"/>
      <c r="G60" s="218"/>
      <c r="M60" s="218"/>
    </row>
    <row r="61" spans="1:15">
      <c r="C61" s="218"/>
      <c r="D61" s="218"/>
      <c r="E61" s="218"/>
      <c r="G61" s="218"/>
      <c r="M61" s="218"/>
    </row>
    <row r="62" spans="1:15">
      <c r="C62" s="218"/>
      <c r="D62" s="218"/>
      <c r="E62" s="218"/>
      <c r="G62" s="218"/>
      <c r="M62" s="218"/>
    </row>
    <row r="63" spans="1:15">
      <c r="C63" s="218"/>
      <c r="D63" s="218"/>
      <c r="E63" s="218"/>
      <c r="G63" s="218"/>
      <c r="M63" s="218"/>
    </row>
    <row r="64" spans="1:15">
      <c r="C64" s="218"/>
      <c r="D64" s="218"/>
      <c r="E64" s="218"/>
      <c r="G64" s="218"/>
      <c r="M64" s="218"/>
    </row>
    <row r="65" spans="3:13">
      <c r="C65" s="218"/>
      <c r="D65" s="218"/>
      <c r="E65" s="218"/>
      <c r="G65" s="218"/>
      <c r="M65" s="218"/>
    </row>
    <row r="66" spans="3:13">
      <c r="C66" s="218"/>
      <c r="D66" s="218"/>
      <c r="E66" s="218"/>
      <c r="G66" s="218"/>
      <c r="M66" s="218"/>
    </row>
    <row r="67" spans="3:13">
      <c r="C67" s="218"/>
      <c r="D67" s="218"/>
      <c r="E67" s="218"/>
      <c r="G67" s="218"/>
      <c r="M67" s="218"/>
    </row>
    <row r="68" spans="3:13">
      <c r="C68" s="218"/>
      <c r="D68" s="218"/>
      <c r="E68" s="218"/>
      <c r="G68" s="218"/>
      <c r="M68" s="218"/>
    </row>
    <row r="69" spans="3:13">
      <c r="C69" s="218"/>
      <c r="D69" s="218"/>
      <c r="E69" s="218"/>
      <c r="G69" s="218"/>
      <c r="M69" s="218"/>
    </row>
    <row r="70" spans="3:13">
      <c r="C70" s="218"/>
      <c r="D70" s="218"/>
      <c r="E70" s="218"/>
      <c r="G70" s="218"/>
      <c r="M70" s="218"/>
    </row>
    <row r="71" spans="3:13">
      <c r="C71" s="218"/>
      <c r="D71" s="218"/>
      <c r="E71" s="218"/>
      <c r="G71" s="218"/>
      <c r="M71" s="218"/>
    </row>
    <row r="72" spans="3:13">
      <c r="C72" s="218"/>
      <c r="D72" s="218"/>
      <c r="E72" s="218"/>
      <c r="G72" s="218"/>
      <c r="M72" s="218"/>
    </row>
    <row r="73" spans="3:13">
      <c r="C73" s="218"/>
      <c r="D73" s="218"/>
      <c r="E73" s="218"/>
      <c r="G73" s="218"/>
      <c r="M73" s="218"/>
    </row>
    <row r="74" spans="3:13">
      <c r="C74" s="218"/>
      <c r="D74" s="218"/>
      <c r="E74" s="218"/>
      <c r="G74" s="218"/>
      <c r="M74" s="218"/>
    </row>
    <row r="75" spans="3:13">
      <c r="C75" s="218"/>
      <c r="D75" s="218"/>
      <c r="E75" s="218"/>
      <c r="G75" s="218"/>
      <c r="M75" s="218"/>
    </row>
    <row r="76" spans="3:13">
      <c r="C76" s="218"/>
      <c r="D76" s="218"/>
      <c r="E76" s="218"/>
      <c r="G76" s="218"/>
      <c r="M76" s="218"/>
    </row>
    <row r="77" spans="3:13">
      <c r="C77" s="218"/>
      <c r="D77" s="218"/>
      <c r="E77" s="218"/>
      <c r="G77" s="218"/>
      <c r="M77" s="218"/>
    </row>
    <row r="78" spans="3:13">
      <c r="C78" s="218"/>
      <c r="D78" s="218"/>
      <c r="E78" s="218"/>
      <c r="G78" s="218"/>
      <c r="M78" s="218"/>
    </row>
    <row r="79" spans="3:13">
      <c r="C79" s="218"/>
      <c r="D79" s="218"/>
      <c r="E79" s="218"/>
      <c r="G79" s="218"/>
      <c r="M79" s="218"/>
    </row>
    <row r="80" spans="3:13">
      <c r="C80" s="218"/>
      <c r="D80" s="218"/>
      <c r="E80" s="218"/>
      <c r="G80" s="218"/>
      <c r="M80" s="218"/>
    </row>
    <row r="81" spans="3:13">
      <c r="C81" s="218"/>
      <c r="D81" s="218"/>
      <c r="E81" s="218"/>
      <c r="G81" s="218"/>
      <c r="M81" s="218"/>
    </row>
    <row r="82" spans="3:13">
      <c r="C82" s="218"/>
      <c r="D82" s="218"/>
      <c r="E82" s="218"/>
      <c r="G82" s="218"/>
      <c r="M82" s="218"/>
    </row>
    <row r="83" spans="3:13">
      <c r="C83" s="218"/>
      <c r="D83" s="218"/>
      <c r="E83" s="218"/>
      <c r="G83" s="218"/>
      <c r="M83" s="218"/>
    </row>
    <row r="84" spans="3:13">
      <c r="C84" s="218"/>
      <c r="D84" s="218"/>
      <c r="E84" s="218"/>
      <c r="G84" s="218"/>
      <c r="M84" s="218"/>
    </row>
    <row r="85" spans="3:13">
      <c r="C85" s="218"/>
      <c r="D85" s="218"/>
      <c r="E85" s="218"/>
      <c r="G85" s="218"/>
      <c r="M85" s="218"/>
    </row>
    <row r="86" spans="3:13">
      <c r="C86" s="218"/>
      <c r="D86" s="218"/>
      <c r="E86" s="218"/>
      <c r="G86" s="218"/>
      <c r="M86" s="218"/>
    </row>
    <row r="87" spans="3:13">
      <c r="C87" s="218"/>
      <c r="D87" s="218"/>
      <c r="E87" s="218"/>
      <c r="G87" s="218"/>
      <c r="M87" s="218"/>
    </row>
    <row r="88" spans="3:13">
      <c r="C88" s="218"/>
      <c r="D88" s="218"/>
      <c r="E88" s="218"/>
      <c r="G88" s="218"/>
      <c r="M88" s="218"/>
    </row>
    <row r="89" spans="3:13">
      <c r="C89" s="218"/>
      <c r="D89" s="218"/>
      <c r="E89" s="218"/>
      <c r="G89" s="218"/>
      <c r="M89" s="218"/>
    </row>
    <row r="90" spans="3:13">
      <c r="C90" s="218"/>
      <c r="D90" s="218"/>
      <c r="E90" s="218"/>
      <c r="G90" s="218"/>
      <c r="M90" s="218"/>
    </row>
    <row r="91" spans="3:13">
      <c r="C91" s="218"/>
      <c r="D91" s="218"/>
      <c r="E91" s="218"/>
      <c r="G91" s="218"/>
      <c r="M91" s="218"/>
    </row>
    <row r="92" spans="3:13">
      <c r="C92" s="218"/>
      <c r="D92" s="218"/>
      <c r="E92" s="218"/>
      <c r="G92" s="218"/>
      <c r="M92" s="218"/>
    </row>
    <row r="93" spans="3:13">
      <c r="C93" s="218"/>
      <c r="D93" s="218"/>
      <c r="E93" s="218"/>
      <c r="G93" s="218"/>
      <c r="M93" s="218"/>
    </row>
    <row r="94" spans="3:13">
      <c r="C94" s="218"/>
      <c r="D94" s="218"/>
      <c r="E94" s="218"/>
      <c r="G94" s="218"/>
      <c r="M94" s="218"/>
    </row>
    <row r="95" spans="3:13">
      <c r="C95" s="218"/>
      <c r="D95" s="218"/>
      <c r="E95" s="218"/>
      <c r="G95" s="218"/>
      <c r="M95" s="218"/>
    </row>
    <row r="96" spans="3:13">
      <c r="C96" s="218"/>
      <c r="D96" s="218"/>
      <c r="E96" s="218"/>
      <c r="G96" s="218"/>
      <c r="M96" s="218"/>
    </row>
    <row r="97" spans="3:13">
      <c r="C97" s="218"/>
      <c r="D97" s="218"/>
      <c r="E97" s="218"/>
      <c r="G97" s="218"/>
      <c r="M97" s="218"/>
    </row>
    <row r="98" spans="3:13">
      <c r="C98" s="218"/>
      <c r="D98" s="218"/>
      <c r="E98" s="218"/>
      <c r="G98" s="218"/>
      <c r="M98" s="218"/>
    </row>
    <row r="99" spans="3:13">
      <c r="C99" s="218"/>
      <c r="D99" s="218"/>
      <c r="E99" s="218"/>
      <c r="G99" s="218"/>
      <c r="M99" s="218"/>
    </row>
    <row r="100" spans="3:13">
      <c r="C100" s="218"/>
      <c r="D100" s="218"/>
      <c r="E100" s="218"/>
      <c r="G100" s="218"/>
      <c r="M100" s="218"/>
    </row>
    <row r="101" spans="3:13">
      <c r="C101" s="218"/>
      <c r="D101" s="218"/>
      <c r="E101" s="218"/>
      <c r="G101" s="218"/>
      <c r="M101" s="218"/>
    </row>
    <row r="102" spans="3:13">
      <c r="C102" s="218"/>
      <c r="D102" s="218"/>
      <c r="E102" s="218"/>
      <c r="G102" s="218"/>
      <c r="M102" s="218"/>
    </row>
    <row r="103" spans="3:13">
      <c r="C103" s="218"/>
      <c r="D103" s="218"/>
      <c r="E103" s="218"/>
      <c r="G103" s="218"/>
      <c r="M103" s="218"/>
    </row>
    <row r="104" spans="3:13">
      <c r="C104" s="218"/>
      <c r="D104" s="218"/>
      <c r="E104" s="218"/>
      <c r="G104" s="218"/>
      <c r="M104" s="218"/>
    </row>
    <row r="105" spans="3:13">
      <c r="C105" s="218"/>
      <c r="D105" s="218"/>
      <c r="E105" s="218"/>
      <c r="G105" s="218"/>
      <c r="M105" s="218"/>
    </row>
    <row r="106" spans="3:13">
      <c r="C106" s="218"/>
      <c r="D106" s="218"/>
      <c r="E106" s="218"/>
      <c r="G106" s="218"/>
      <c r="M106" s="218"/>
    </row>
    <row r="107" spans="3:13">
      <c r="C107" s="218"/>
      <c r="D107" s="218"/>
      <c r="E107" s="218"/>
      <c r="G107" s="218"/>
      <c r="M107" s="218"/>
    </row>
    <row r="108" spans="3:13">
      <c r="C108" s="218"/>
      <c r="D108" s="218"/>
      <c r="E108" s="218"/>
      <c r="G108" s="218"/>
      <c r="M108" s="218"/>
    </row>
    <row r="109" spans="3:13">
      <c r="C109" s="218"/>
      <c r="D109" s="218"/>
      <c r="E109" s="218"/>
      <c r="G109" s="218"/>
      <c r="M109" s="218"/>
    </row>
    <row r="110" spans="3:13">
      <c r="C110" s="218"/>
      <c r="D110" s="218"/>
      <c r="E110" s="218"/>
      <c r="G110" s="218"/>
      <c r="M110" s="218"/>
    </row>
    <row r="111" spans="3:13">
      <c r="C111" s="218"/>
      <c r="D111" s="218"/>
      <c r="E111" s="218"/>
      <c r="G111" s="218"/>
      <c r="M111" s="218"/>
    </row>
    <row r="112" spans="3:13">
      <c r="C112" s="218"/>
      <c r="D112" s="218"/>
      <c r="E112" s="218"/>
      <c r="G112" s="218"/>
      <c r="M112" s="218"/>
    </row>
    <row r="113" spans="3:13">
      <c r="C113" s="218"/>
      <c r="D113" s="218"/>
      <c r="E113" s="218"/>
      <c r="G113" s="218"/>
      <c r="M113" s="218"/>
    </row>
    <row r="114" spans="3:13">
      <c r="C114" s="218"/>
      <c r="D114" s="218"/>
      <c r="E114" s="218"/>
      <c r="G114" s="218"/>
      <c r="M114" s="218"/>
    </row>
    <row r="115" spans="3:13">
      <c r="C115" s="218"/>
      <c r="D115" s="218"/>
      <c r="E115" s="218"/>
      <c r="G115" s="218"/>
      <c r="M115" s="218"/>
    </row>
    <row r="116" spans="3:13">
      <c r="C116" s="218"/>
      <c r="D116" s="218"/>
      <c r="E116" s="218"/>
      <c r="G116" s="218"/>
      <c r="M116" s="218"/>
    </row>
    <row r="117" spans="3:13">
      <c r="C117" s="218"/>
      <c r="D117" s="218"/>
      <c r="E117" s="218"/>
      <c r="G117" s="218"/>
      <c r="M117" s="218"/>
    </row>
    <row r="118" spans="3:13">
      <c r="C118" s="218"/>
      <c r="D118" s="218"/>
      <c r="E118" s="218"/>
      <c r="G118" s="218"/>
      <c r="M118" s="218"/>
    </row>
    <row r="119" spans="3:13">
      <c r="C119" s="218"/>
      <c r="D119" s="218"/>
      <c r="E119" s="218"/>
      <c r="G119" s="218"/>
      <c r="M119" s="218"/>
    </row>
    <row r="120" spans="3:13">
      <c r="C120" s="218"/>
      <c r="D120" s="218"/>
      <c r="E120" s="218"/>
      <c r="G120" s="218"/>
      <c r="M120" s="218"/>
    </row>
    <row r="121" spans="3:13">
      <c r="C121" s="218"/>
      <c r="D121" s="218"/>
      <c r="E121" s="218"/>
      <c r="G121" s="218"/>
      <c r="M121" s="218"/>
    </row>
    <row r="122" spans="3:13">
      <c r="C122" s="218"/>
      <c r="D122" s="218"/>
      <c r="E122" s="218"/>
      <c r="G122" s="218"/>
      <c r="M122" s="218"/>
    </row>
    <row r="123" spans="3:13">
      <c r="C123" s="218"/>
      <c r="D123" s="218"/>
      <c r="E123" s="218"/>
      <c r="G123" s="218"/>
      <c r="M123" s="218"/>
    </row>
    <row r="124" spans="3:13">
      <c r="C124" s="218"/>
      <c r="D124" s="218"/>
      <c r="E124" s="218"/>
      <c r="G124" s="218"/>
      <c r="M124" s="218"/>
    </row>
    <row r="125" spans="3:13">
      <c r="C125" s="218"/>
      <c r="D125" s="218"/>
      <c r="E125" s="218"/>
      <c r="G125" s="218"/>
      <c r="M125" s="218"/>
    </row>
    <row r="126" spans="3:13">
      <c r="C126" s="218"/>
      <c r="D126" s="218"/>
      <c r="E126" s="218"/>
      <c r="G126" s="218"/>
      <c r="M126" s="218"/>
    </row>
    <row r="127" spans="3:13">
      <c r="C127" s="218"/>
      <c r="D127" s="218"/>
      <c r="E127" s="218"/>
      <c r="G127" s="218"/>
      <c r="M127" s="218"/>
    </row>
    <row r="128" spans="3:13">
      <c r="C128" s="218"/>
      <c r="G128" s="218"/>
      <c r="M128" s="218"/>
    </row>
  </sheetData>
  <mergeCells count="24">
    <mergeCell ref="B30:B35"/>
    <mergeCell ref="C7:C8"/>
    <mergeCell ref="E7:G7"/>
    <mergeCell ref="D7:D8"/>
    <mergeCell ref="B9:B10"/>
    <mergeCell ref="C30:C32"/>
    <mergeCell ref="D30:D32"/>
    <mergeCell ref="E31:G31"/>
    <mergeCell ref="E30:G30"/>
    <mergeCell ref="C14:H14"/>
    <mergeCell ref="C15:H15"/>
    <mergeCell ref="D18:D26"/>
    <mergeCell ref="E18:E20"/>
    <mergeCell ref="H18:H20"/>
    <mergeCell ref="E21:E22"/>
    <mergeCell ref="H21:H22"/>
    <mergeCell ref="B14:B26"/>
    <mergeCell ref="L1:P3"/>
    <mergeCell ref="N7:P7"/>
    <mergeCell ref="K7:M7"/>
    <mergeCell ref="H7:J7"/>
    <mergeCell ref="I9:J9"/>
    <mergeCell ref="C16:E16"/>
    <mergeCell ref="G16:H16"/>
  </mergeCells>
  <pageMargins left="0.7" right="0.7" top="0.75" bottom="0.75" header="0.3" footer="0.3"/>
  <pageSetup paperSize="256" fitToHeight="0" orientation="landscape" r:id="rId1"/>
  <ignoredErrors>
    <ignoredError sqref="F51:F56"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5">
    <pageSetUpPr fitToPage="1"/>
  </sheetPr>
  <dimension ref="A1:S33"/>
  <sheetViews>
    <sheetView zoomScaleNormal="100" workbookViewId="0">
      <pane ySplit="4" topLeftCell="A5" activePane="bottomLeft" state="frozen"/>
      <selection pane="bottomLeft" activeCell="A6" sqref="A6"/>
    </sheetView>
  </sheetViews>
  <sheetFormatPr defaultColWidth="25" defaultRowHeight="12.75"/>
  <cols>
    <col min="1" max="1" width="5.7109375" style="2" customWidth="1"/>
    <col min="2" max="2" width="28.42578125" style="2" customWidth="1"/>
    <col min="3" max="3" width="20" style="2" customWidth="1"/>
    <col min="4" max="4" width="20" style="186" customWidth="1"/>
    <col min="5" max="9" width="17.140625" style="2" customWidth="1"/>
    <col min="10" max="10" width="14.42578125" style="2" customWidth="1"/>
    <col min="11" max="16384" width="25" style="2"/>
  </cols>
  <sheetData>
    <row r="1" spans="1:19" ht="12.75" customHeight="1">
      <c r="A1" s="218"/>
      <c r="B1" s="218"/>
      <c r="D1" s="220"/>
      <c r="F1" s="881" t="str">
        <f>IF('Język - Language'!$B$30="Polski",CONCATENATE("Cennik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G1" s="881"/>
      <c r="H1" s="881"/>
      <c r="I1" s="881"/>
    </row>
    <row r="2" spans="1:19" ht="12.75" customHeight="1">
      <c r="A2" s="218"/>
      <c r="B2" s="218"/>
      <c r="C2" s="220"/>
      <c r="D2" s="220"/>
      <c r="E2" s="220"/>
      <c r="F2" s="881"/>
      <c r="G2" s="881"/>
      <c r="H2" s="881"/>
      <c r="I2" s="881"/>
    </row>
    <row r="3" spans="1:19" ht="12.75" customHeight="1">
      <c r="A3" s="218"/>
      <c r="B3" s="218"/>
      <c r="C3" s="220"/>
      <c r="D3" s="220"/>
      <c r="E3" s="220"/>
      <c r="F3" s="881"/>
      <c r="G3" s="881"/>
      <c r="H3" s="881"/>
      <c r="I3" s="881"/>
    </row>
    <row r="4" spans="1:19" s="32" customFormat="1" ht="12.75" customHeight="1">
      <c r="A4" s="221"/>
      <c r="B4" s="33" t="str">
        <f>IF('Język - Language'!$B$30="Polski","            Poczta - Mailing reklamowy, emisje stałe","            Email service - Advertising mailing, flat fee emissions")</f>
        <v xml:space="preserve">            Poczta - Mailing reklamowy, emisje stałe</v>
      </c>
      <c r="C4" s="221"/>
      <c r="D4" s="221"/>
      <c r="E4" s="221"/>
      <c r="F4" s="221"/>
      <c r="G4" s="344"/>
      <c r="I4" s="215" t="str">
        <f>IF('Język - Language'!$B$30="Polski","PL","EN")</f>
        <v>PL</v>
      </c>
    </row>
    <row r="5" spans="1:19" ht="12.75" customHeight="1">
      <c r="A5" s="218"/>
      <c r="B5" s="218"/>
      <c r="C5" s="218"/>
      <c r="D5" s="218"/>
      <c r="E5" s="218"/>
      <c r="F5" s="218"/>
      <c r="G5" s="218"/>
      <c r="H5" s="218"/>
    </row>
    <row r="6" spans="1:19" ht="12.75" customHeight="1">
      <c r="A6" s="218"/>
      <c r="B6" s="216"/>
      <c r="C6" s="216"/>
      <c r="D6" s="216"/>
      <c r="E6" s="216"/>
      <c r="F6" s="216"/>
      <c r="G6" s="216"/>
      <c r="H6" s="218"/>
    </row>
    <row r="7" spans="1:19" ht="12.75" customHeight="1">
      <c r="A7" s="216"/>
      <c r="B7" s="1146" t="str">
        <f>IF('Język - Language'!$B$30="Polski","MIEJSCE EMISJI","PLACE OF EMISSION")</f>
        <v>MIEJSCE EMISJI</v>
      </c>
      <c r="C7" s="1146" t="str">
        <f>IF('Język - Language'!$B$30="Polski","FORMAT GRAFICZNY","ADVERTISING FORMAT")</f>
        <v>FORMAT GRAFICZNY</v>
      </c>
      <c r="D7" s="1146"/>
      <c r="E7" s="981" t="s">
        <v>224</v>
      </c>
      <c r="F7" s="1225" t="s">
        <v>33</v>
      </c>
      <c r="G7" s="1225"/>
      <c r="H7" s="1225" t="s">
        <v>34</v>
      </c>
      <c r="I7" s="1226"/>
      <c r="J7" s="218"/>
    </row>
    <row r="8" spans="1:19" ht="12.75" customHeight="1">
      <c r="A8" s="216"/>
      <c r="B8" s="1146"/>
      <c r="C8" s="1146"/>
      <c r="D8" s="1146"/>
      <c r="E8" s="981"/>
      <c r="F8" s="248" t="str">
        <f>IF('Język - Language'!$B$30="Polski","DZIEŃ²","DAY²")</f>
        <v>DZIEŃ²</v>
      </c>
      <c r="G8" s="242" t="str">
        <f>IF('Język - Language'!$B$30="Polski","TYDZIEŃ","WEEK")</f>
        <v>TYDZIEŃ</v>
      </c>
      <c r="H8" s="283" t="str">
        <f>IF('Język - Language'!$B$30="Polski","DZIEŃ²","DAY²")</f>
        <v>DZIEŃ²</v>
      </c>
      <c r="I8" s="249" t="str">
        <f>IF('Język - Language'!$B$30="Polski","TYDZIEŃ","WEEK")</f>
        <v>TYDZIEŃ</v>
      </c>
      <c r="J8" s="46"/>
    </row>
    <row r="9" spans="1:19" s="218" customFormat="1" ht="12.75" customHeight="1">
      <c r="A9" s="216"/>
      <c r="B9" s="1146"/>
      <c r="C9" s="1146"/>
      <c r="D9" s="1146"/>
      <c r="E9" s="981"/>
      <c r="F9" s="534" t="s">
        <v>120</v>
      </c>
      <c r="G9" s="533" t="s">
        <v>120</v>
      </c>
      <c r="H9" s="533" t="s">
        <v>120</v>
      </c>
      <c r="I9" s="535" t="s">
        <v>120</v>
      </c>
      <c r="J9" s="46"/>
    </row>
    <row r="10" spans="1:19" ht="25.5" customHeight="1">
      <c r="A10" s="218"/>
      <c r="B10" s="1216" t="str">
        <f>IF('Język - Language'!$B$30="Polski","Strona logowania Poczty","Logging in")</f>
        <v>Strona logowania Poczty</v>
      </c>
      <c r="C10" s="1220" t="str">
        <f>IF('Język - Language'!$B$30="Polski","Login Box","Login Box")</f>
        <v>Login Box</v>
      </c>
      <c r="D10" s="1221"/>
      <c r="E10" s="565" t="s">
        <v>219</v>
      </c>
      <c r="F10" s="224" t="s">
        <v>35</v>
      </c>
      <c r="G10" s="175">
        <v>370000</v>
      </c>
      <c r="H10" s="175" t="s">
        <v>35</v>
      </c>
      <c r="I10" s="173">
        <v>120000</v>
      </c>
      <c r="J10" s="218"/>
    </row>
    <row r="11" spans="1:19" s="218" customFormat="1" ht="25.5" customHeight="1">
      <c r="B11" s="1216"/>
      <c r="C11" s="980"/>
      <c r="D11" s="931"/>
      <c r="E11" s="569" t="s">
        <v>220</v>
      </c>
      <c r="F11" s="174" t="s">
        <v>35</v>
      </c>
      <c r="G11" s="175">
        <v>310000</v>
      </c>
      <c r="H11" s="175" t="s">
        <v>35</v>
      </c>
      <c r="I11" s="149">
        <v>100000</v>
      </c>
    </row>
    <row r="12" spans="1:19" s="45" customFormat="1" ht="25.5" customHeight="1">
      <c r="A12" s="218"/>
      <c r="B12" s="1046"/>
      <c r="C12" s="1022" t="str">
        <f>IF('Język - Language'!$B$30="Polski","Full Page Login Box","Full Page Login Box")</f>
        <v>Full Page Login Box</v>
      </c>
      <c r="D12" s="1024"/>
      <c r="E12" s="162" t="s">
        <v>219</v>
      </c>
      <c r="F12" s="379" t="s">
        <v>35</v>
      </c>
      <c r="G12" s="379">
        <v>660000</v>
      </c>
      <c r="H12" s="379" t="s">
        <v>35</v>
      </c>
      <c r="I12" s="568">
        <v>180000</v>
      </c>
      <c r="J12" s="218"/>
    </row>
    <row r="13" spans="1:19" s="218" customFormat="1" ht="25.5" customHeight="1">
      <c r="B13" s="509" t="s">
        <v>185</v>
      </c>
      <c r="C13" s="980" t="str">
        <f>IF('Język - Language'!$B$30="Polski","Double Billboard/Wideboard¹","Double Billboard/Wideboard¹")</f>
        <v>Double Billboard/Wideboard¹</v>
      </c>
      <c r="D13" s="931"/>
      <c r="E13" s="171" t="s">
        <v>219</v>
      </c>
      <c r="F13" s="173">
        <v>185000</v>
      </c>
      <c r="G13" s="224" t="s">
        <v>35</v>
      </c>
      <c r="H13" s="224">
        <v>95000</v>
      </c>
      <c r="I13" s="379" t="s">
        <v>35</v>
      </c>
    </row>
    <row r="14" spans="1:19" s="218" customFormat="1" ht="25.5" customHeight="1">
      <c r="B14" s="1217" t="str">
        <f>IF('Język - Language'!$B$30="Polski","Interfejs Poczty","Email service interface")</f>
        <v>Interfejs Poczty</v>
      </c>
      <c r="C14" s="1223" t="s">
        <v>222</v>
      </c>
      <c r="D14" s="1224"/>
      <c r="E14" s="570" t="s">
        <v>220</v>
      </c>
      <c r="F14" s="301" t="s">
        <v>35</v>
      </c>
      <c r="G14" s="531">
        <v>500000</v>
      </c>
      <c r="H14" s="366" t="s">
        <v>35</v>
      </c>
      <c r="I14" s="531">
        <v>260000</v>
      </c>
    </row>
    <row r="15" spans="1:19" s="218" customFormat="1" ht="25.5" customHeight="1">
      <c r="B15" s="1216"/>
      <c r="C15" s="966" t="s">
        <v>223</v>
      </c>
      <c r="D15" s="968"/>
      <c r="E15" s="567" t="s">
        <v>220</v>
      </c>
      <c r="F15" s="174" t="s">
        <v>35</v>
      </c>
      <c r="G15" s="149">
        <v>260000</v>
      </c>
      <c r="H15" s="149" t="s">
        <v>35</v>
      </c>
      <c r="I15" s="498">
        <v>120000</v>
      </c>
      <c r="J15" s="499"/>
    </row>
    <row r="16" spans="1:19" s="48" customFormat="1" ht="25.5" customHeight="1">
      <c r="A16" s="218"/>
      <c r="B16" s="1216"/>
      <c r="C16" s="1015" t="s">
        <v>155</v>
      </c>
      <c r="D16" s="1017"/>
      <c r="E16" s="558" t="s">
        <v>219</v>
      </c>
      <c r="F16" s="149">
        <v>180000</v>
      </c>
      <c r="G16" s="174" t="s">
        <v>35</v>
      </c>
      <c r="H16" s="174">
        <v>65000</v>
      </c>
      <c r="I16" s="174" t="s">
        <v>35</v>
      </c>
      <c r="J16" s="218"/>
      <c r="K16" s="724"/>
      <c r="L16" s="724"/>
      <c r="M16" s="724"/>
      <c r="N16" s="218"/>
      <c r="O16" s="218"/>
      <c r="P16" s="218"/>
      <c r="Q16" s="218"/>
      <c r="R16" s="218"/>
      <c r="S16" s="218"/>
    </row>
    <row r="17" spans="1:19" s="218" customFormat="1" ht="25.5" customHeight="1">
      <c r="B17" s="1216"/>
      <c r="C17" s="980"/>
      <c r="D17" s="931"/>
      <c r="E17" s="566" t="s">
        <v>220</v>
      </c>
      <c r="F17" s="149">
        <v>120000</v>
      </c>
      <c r="G17" s="174" t="s">
        <v>35</v>
      </c>
      <c r="H17" s="174">
        <v>55000</v>
      </c>
      <c r="I17" s="174" t="s">
        <v>35</v>
      </c>
      <c r="K17" s="724"/>
      <c r="L17" s="724"/>
      <c r="M17" s="724"/>
    </row>
    <row r="18" spans="1:19" s="44" customFormat="1" ht="25.5" customHeight="1">
      <c r="A18" s="218"/>
      <c r="B18" s="1216"/>
      <c r="C18" s="980" t="str">
        <f>IF('Język - Language'!$B$30="Polski","Skyscraper (lewa kolumna)","Skyscraper (left side)")</f>
        <v>Skyscraper (lewa kolumna)</v>
      </c>
      <c r="D18" s="931"/>
      <c r="E18" s="565" t="s">
        <v>219</v>
      </c>
      <c r="F18" s="173">
        <v>135000</v>
      </c>
      <c r="G18" s="175" t="s">
        <v>35</v>
      </c>
      <c r="H18" s="175">
        <v>75000</v>
      </c>
      <c r="I18" s="224" t="s">
        <v>35</v>
      </c>
      <c r="J18" s="218"/>
      <c r="K18" s="218"/>
      <c r="L18" s="218"/>
      <c r="M18" s="218"/>
      <c r="N18" s="218"/>
      <c r="O18" s="218"/>
      <c r="P18" s="218"/>
      <c r="Q18" s="218"/>
      <c r="R18" s="218"/>
      <c r="S18" s="218"/>
    </row>
    <row r="19" spans="1:19" ht="25.5" customHeight="1">
      <c r="A19" s="218"/>
      <c r="B19" s="1216"/>
      <c r="C19" s="909" t="s">
        <v>106</v>
      </c>
      <c r="D19" s="949"/>
      <c r="E19" s="558" t="s">
        <v>219</v>
      </c>
      <c r="F19" s="174">
        <v>110000</v>
      </c>
      <c r="G19" s="174" t="s">
        <v>35</v>
      </c>
      <c r="H19" s="174">
        <v>95000</v>
      </c>
      <c r="I19" s="174" t="s">
        <v>35</v>
      </c>
      <c r="J19" s="218"/>
      <c r="K19" s="218"/>
      <c r="L19" s="218"/>
      <c r="M19" s="218"/>
      <c r="N19" s="218"/>
      <c r="O19" s="218"/>
      <c r="P19" s="218"/>
      <c r="Q19" s="218"/>
      <c r="R19" s="218"/>
      <c r="S19" s="218"/>
    </row>
    <row r="20" spans="1:19" s="72" customFormat="1" ht="25.5" customHeight="1">
      <c r="A20" s="218"/>
      <c r="B20" s="1216"/>
      <c r="C20" s="909" t="s">
        <v>331</v>
      </c>
      <c r="D20" s="949"/>
      <c r="E20" s="558" t="s">
        <v>219</v>
      </c>
      <c r="F20" s="174">
        <v>230000</v>
      </c>
      <c r="G20" s="174" t="s">
        <v>35</v>
      </c>
      <c r="H20" s="174">
        <v>110000</v>
      </c>
      <c r="I20" s="174" t="s">
        <v>35</v>
      </c>
      <c r="J20" s="218"/>
      <c r="K20" s="218"/>
      <c r="L20" s="218"/>
      <c r="M20" s="218"/>
      <c r="N20" s="218"/>
      <c r="O20" s="218"/>
      <c r="P20" s="218"/>
      <c r="Q20" s="218"/>
      <c r="R20" s="218"/>
      <c r="S20" s="218"/>
    </row>
    <row r="21" spans="1:19" s="42" customFormat="1" ht="25.5" customHeight="1">
      <c r="A21" s="218"/>
      <c r="B21" s="1046"/>
      <c r="C21" s="1218" t="str">
        <f>IF('Język - Language'!$B$30="Polski","Rectangle (podgląd załączników)","Rectangle (in a preview of attachments)")</f>
        <v>Rectangle (podgląd załączników)</v>
      </c>
      <c r="D21" s="1219"/>
      <c r="E21" s="559" t="s">
        <v>219</v>
      </c>
      <c r="F21" s="176" t="s">
        <v>35</v>
      </c>
      <c r="G21" s="176">
        <v>75000</v>
      </c>
      <c r="H21" s="176" t="s">
        <v>35</v>
      </c>
      <c r="I21" s="176">
        <v>40000</v>
      </c>
      <c r="J21" s="218"/>
      <c r="K21" s="218"/>
      <c r="L21" s="218"/>
      <c r="M21" s="218"/>
      <c r="N21" s="218"/>
      <c r="O21" s="218"/>
      <c r="P21" s="218"/>
      <c r="Q21" s="218"/>
      <c r="R21" s="218"/>
      <c r="S21" s="218"/>
    </row>
    <row r="22" spans="1:19" s="72" customFormat="1" ht="25.5" customHeight="1">
      <c r="A22" s="218"/>
      <c r="B22" s="157" t="str">
        <f>IF('Język - Language'!$B$30="Polski","Po wylogowaniu z Poczty","After logging out")</f>
        <v>Po wylogowaniu z Poczty</v>
      </c>
      <c r="C22" s="1214" t="s">
        <v>107</v>
      </c>
      <c r="D22" s="1215"/>
      <c r="E22" s="563" t="s">
        <v>219</v>
      </c>
      <c r="F22" s="177">
        <v>95000</v>
      </c>
      <c r="G22" s="177" t="s">
        <v>35</v>
      </c>
      <c r="H22" s="177">
        <v>50000</v>
      </c>
      <c r="I22" s="177" t="s">
        <v>35</v>
      </c>
      <c r="J22" s="218"/>
      <c r="K22" s="218"/>
      <c r="L22" s="218"/>
      <c r="M22" s="218"/>
      <c r="N22" s="218"/>
      <c r="O22" s="218"/>
      <c r="P22" s="218"/>
      <c r="Q22" s="218"/>
      <c r="R22" s="218"/>
      <c r="S22" s="218"/>
    </row>
    <row r="23" spans="1:19" ht="12.75" customHeight="1">
      <c r="A23" s="218"/>
      <c r="B23" s="185" t="str">
        <f>IF('Język - Language'!$B$30="Polski","¹ możliwość emisji formatu 970x200, również jako Retail Dniówka, zgodnie z tabelą dopłat: 50% za mega format","¹ special Retail Daily Emission is available for 970x200 format with extra charge, also as Retail Dniówka, according to the table of surcharges: 50% for the mega format")</f>
        <v>¹ możliwość emisji formatu 970x200, również jako Retail Dniówka, zgodnie z tabelą dopłat: 50% za mega format</v>
      </c>
      <c r="C23" s="3"/>
      <c r="D23" s="3"/>
      <c r="E23" s="3"/>
      <c r="F23" s="3"/>
      <c r="G23" s="3"/>
      <c r="H23" s="73"/>
      <c r="I23" s="218"/>
      <c r="J23" s="218"/>
      <c r="K23" s="218"/>
      <c r="L23" s="218"/>
      <c r="M23" s="218"/>
      <c r="N23" s="218"/>
      <c r="O23" s="218"/>
      <c r="P23" s="218"/>
      <c r="Q23" s="218"/>
    </row>
    <row r="24" spans="1:19" s="218" customFormat="1" ht="12.75" customHeight="1">
      <c r="B24" s="185" t="str">
        <f>IF('Język - Language'!$B$30="Polski","² emisja w dzień weekendowy -30% na desktop","² weekend day -30% on desktop")</f>
        <v>² emisja w dzień weekendowy -30% na desktop</v>
      </c>
      <c r="C24" s="3"/>
      <c r="D24" s="3"/>
      <c r="E24" s="3"/>
      <c r="F24" s="3"/>
      <c r="G24" s="3"/>
      <c r="H24" s="73"/>
    </row>
    <row r="25" spans="1:19">
      <c r="A25" s="218"/>
      <c r="B25" s="815" t="s">
        <v>330</v>
      </c>
      <c r="C25" s="25"/>
      <c r="D25" s="25"/>
      <c r="E25" s="218"/>
      <c r="F25" s="218"/>
      <c r="G25" s="218"/>
      <c r="H25" s="73"/>
      <c r="I25" s="3"/>
      <c r="J25" s="218"/>
      <c r="K25" s="218"/>
      <c r="L25" s="218"/>
      <c r="M25" s="218"/>
      <c r="N25" s="218"/>
      <c r="O25" s="218"/>
      <c r="P25" s="218"/>
      <c r="Q25" s="218"/>
    </row>
    <row r="26" spans="1:19">
      <c r="A26" s="218"/>
      <c r="B26" s="218"/>
      <c r="C26" s="218"/>
      <c r="D26" s="218"/>
      <c r="E26" s="218"/>
      <c r="F26" s="19"/>
      <c r="G26" s="218"/>
      <c r="H26" s="218"/>
      <c r="I26" s="218"/>
      <c r="J26" s="218"/>
      <c r="K26" s="218"/>
      <c r="L26" s="218"/>
      <c r="M26" s="218"/>
      <c r="N26" s="218"/>
      <c r="O26" s="218"/>
      <c r="P26" s="218"/>
      <c r="Q26" s="218"/>
    </row>
    <row r="27" spans="1:19" ht="25.5" customHeight="1">
      <c r="A27" s="216"/>
      <c r="B27" s="1146" t="s">
        <v>11</v>
      </c>
      <c r="C27" s="634" t="s">
        <v>36</v>
      </c>
      <c r="D27" s="642"/>
      <c r="E27" s="86"/>
      <c r="F27" s="882"/>
      <c r="G27" s="882"/>
      <c r="H27" s="882"/>
      <c r="I27" s="882"/>
      <c r="J27" s="218"/>
      <c r="K27" s="884"/>
      <c r="L27" s="884"/>
      <c r="M27" s="884"/>
      <c r="N27" s="884"/>
      <c r="O27" s="884"/>
      <c r="P27" s="884"/>
      <c r="Q27" s="218"/>
    </row>
    <row r="28" spans="1:19" s="218" customFormat="1" ht="12.75" customHeight="1">
      <c r="A28" s="216"/>
      <c r="B28" s="1146"/>
      <c r="C28" s="635" t="s">
        <v>120</v>
      </c>
      <c r="D28" s="643"/>
      <c r="E28" s="86"/>
      <c r="F28" s="882"/>
      <c r="G28" s="882"/>
      <c r="H28" s="882"/>
      <c r="I28" s="882"/>
      <c r="K28" s="532"/>
      <c r="L28" s="532"/>
      <c r="M28" s="532"/>
      <c r="N28" s="532"/>
      <c r="O28" s="532"/>
      <c r="P28" s="532"/>
    </row>
    <row r="29" spans="1:19" ht="25.5" customHeight="1">
      <c r="A29" s="218"/>
      <c r="B29" s="154" t="str">
        <f>IF('Język - Language'!$B$30="Polski","Mailing HTML 100 kB","Mailing HTML 100 kB")</f>
        <v>Mailing HTML 100 kB</v>
      </c>
      <c r="C29" s="640">
        <v>80</v>
      </c>
      <c r="D29" s="644"/>
      <c r="E29" s="260"/>
      <c r="F29" s="883"/>
      <c r="G29" s="883"/>
      <c r="H29" s="883"/>
      <c r="I29" s="883"/>
      <c r="J29" s="216"/>
      <c r="K29" s="236"/>
      <c r="L29" s="887"/>
      <c r="M29" s="887"/>
      <c r="N29" s="887"/>
      <c r="O29" s="887"/>
      <c r="P29" s="887"/>
      <c r="Q29" s="218"/>
    </row>
    <row r="30" spans="1:19" ht="25.5" customHeight="1">
      <c r="A30" s="218"/>
      <c r="B30" s="155" t="str">
        <f>IF('Język - Language'!$B$30="Polski","Mailing interaktywny²","Interactive Mailing²")</f>
        <v>Mailing interaktywny²</v>
      </c>
      <c r="C30" s="641">
        <v>160</v>
      </c>
      <c r="D30" s="644"/>
      <c r="E30" s="235"/>
      <c r="F30" s="54"/>
      <c r="G30" s="55"/>
      <c r="H30" s="56"/>
      <c r="I30" s="56"/>
      <c r="J30" s="216"/>
      <c r="K30" s="76"/>
      <c r="L30" s="889"/>
      <c r="M30" s="889"/>
      <c r="N30" s="889"/>
      <c r="O30" s="889"/>
      <c r="P30" s="889"/>
      <c r="Q30" s="218"/>
    </row>
    <row r="31" spans="1:19" ht="25.5" customHeight="1">
      <c r="A31" s="218"/>
      <c r="B31" s="1222" t="str">
        <f>IF('Język - Language'!$B$30="Polski",CONCATENATE("¹ Mailing jest dostarczany do użytkownika w momencie, gdy po raz pierwszy odbiera on pocztę ze swojej skrzynki, w okresie ważności mailingu. Mailing może być kierowany do konkretnej grupy odbiorców poprzez mechanizm targetowania."," Czas oczekiwania wysłanych listów na pobranie z serwera pocztowego wynosi standardowo 28 dni (w razie konieczności wcześniejszego przerwania mailingu prosimy o zawarcie tego w zamówieniu)."),CONCATENATE("¹ Mailing advertisements are delivered to users when they receive e-mail from their inbox during the effective period of the mailing service. Mailing advertisements may be aimed at a specific group of recipients by a targeting mechanism."," The waiting time for downloading the sent e-mails from the e-mail server as a standard is 28 days (in case of earlier termination of the mailing service, please include such information in the order)."))</f>
        <v>¹ Mailing jest dostarczany do użytkownika w momencie, gdy po raz pierwszy odbiera on pocztę ze swojej skrzynki, w okresie ważności mailingu. Mailing może być kierowany do konkretnej grupy odbiorców poprzez mechanizm targetowania. Czas oczekiwania wysłanych listów na pobranie z serwera pocztowego wynosi standardowo 28 dni (w razie konieczności wcześniejszego przerwania mailingu prosimy o zawarcie tego w zamówieniu).</v>
      </c>
      <c r="C31" s="1222"/>
      <c r="D31" s="1222"/>
      <c r="E31" s="1222"/>
      <c r="F31" s="1222"/>
      <c r="G31" s="1222"/>
      <c r="H31" s="1222"/>
      <c r="I31" s="1222"/>
      <c r="J31" s="56"/>
      <c r="K31" s="216"/>
      <c r="L31" s="76"/>
      <c r="M31" s="889"/>
      <c r="N31" s="889"/>
      <c r="O31" s="889"/>
      <c r="P31" s="889"/>
      <c r="Q31" s="889"/>
    </row>
    <row r="32" spans="1:19" ht="12.75" customHeight="1">
      <c r="A32" s="218"/>
      <c r="B32" s="1222" t="str">
        <f>IF('Język - Language'!$B$30="Polski","² Minimalna wartość zamówienia to 5 000 zł NN","² Minimal order - 5 000 zł NN")</f>
        <v>² Minimalna wartość zamówienia to 5 000 zł NN</v>
      </c>
      <c r="C32" s="1222"/>
      <c r="D32" s="1222"/>
      <c r="E32" s="1222"/>
      <c r="F32" s="1222"/>
      <c r="G32" s="1222"/>
      <c r="H32" s="1222"/>
      <c r="I32" s="1222"/>
      <c r="J32" s="56"/>
      <c r="K32" s="216"/>
      <c r="L32" s="77"/>
      <c r="M32" s="892"/>
      <c r="N32" s="892"/>
      <c r="O32" s="892"/>
      <c r="P32" s="892"/>
      <c r="Q32" s="892"/>
    </row>
    <row r="33" spans="1:17" s="101" customFormat="1" ht="12.75" customHeight="1">
      <c r="A33" s="218"/>
      <c r="B33" s="239"/>
      <c r="C33" s="239"/>
      <c r="D33" s="239"/>
      <c r="E33" s="239"/>
      <c r="F33" s="239"/>
      <c r="G33" s="239"/>
      <c r="H33" s="239"/>
      <c r="I33" s="239"/>
      <c r="J33" s="56"/>
      <c r="K33" s="216"/>
      <c r="L33" s="77"/>
      <c r="M33" s="240"/>
      <c r="N33" s="240"/>
      <c r="O33" s="240"/>
      <c r="P33" s="240"/>
      <c r="Q33" s="240"/>
    </row>
  </sheetData>
  <mergeCells count="31">
    <mergeCell ref="F1:I3"/>
    <mergeCell ref="C14:D14"/>
    <mergeCell ref="C15:D15"/>
    <mergeCell ref="K27:P27"/>
    <mergeCell ref="H27:H29"/>
    <mergeCell ref="I27:I29"/>
    <mergeCell ref="L29:P29"/>
    <mergeCell ref="F27:F29"/>
    <mergeCell ref="G27:G29"/>
    <mergeCell ref="H7:I7"/>
    <mergeCell ref="F7:G7"/>
    <mergeCell ref="M32:Q32"/>
    <mergeCell ref="B32:I32"/>
    <mergeCell ref="L30:P30"/>
    <mergeCell ref="M31:Q31"/>
    <mergeCell ref="B31:I31"/>
    <mergeCell ref="B7:B9"/>
    <mergeCell ref="C7:D9"/>
    <mergeCell ref="E7:E9"/>
    <mergeCell ref="B27:B28"/>
    <mergeCell ref="C18:D18"/>
    <mergeCell ref="C22:D22"/>
    <mergeCell ref="B10:B12"/>
    <mergeCell ref="B14:B21"/>
    <mergeCell ref="C20:D20"/>
    <mergeCell ref="C19:D19"/>
    <mergeCell ref="C21:D21"/>
    <mergeCell ref="C12:D12"/>
    <mergeCell ref="C13:D13"/>
    <mergeCell ref="C10:D11"/>
    <mergeCell ref="C16:D17"/>
  </mergeCells>
  <pageMargins left="0.7" right="0.7" top="0.75" bottom="0.75" header="0.3" footer="0.3"/>
  <pageSetup paperSize="256" scale="68" fitToHeight="0" orientation="landscape" r:id="rId1"/>
  <ignoredErrors>
    <ignoredError sqref="G8:H8"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M51"/>
  <sheetViews>
    <sheetView zoomScaleNormal="100" workbookViewId="0">
      <pane ySplit="4" topLeftCell="A5" activePane="bottomLeft" state="frozen"/>
      <selection pane="bottomLeft" activeCell="A6" sqref="A6"/>
    </sheetView>
  </sheetViews>
  <sheetFormatPr defaultColWidth="9.140625" defaultRowHeight="15"/>
  <cols>
    <col min="1" max="2" width="2.85546875" style="356" customWidth="1"/>
    <col min="3" max="3" width="22.28515625" style="356" customWidth="1"/>
    <col min="4" max="9" width="20" style="356" customWidth="1"/>
    <col min="10" max="16384" width="9.140625" style="356"/>
  </cols>
  <sheetData>
    <row r="1" spans="2:12" s="218" customFormat="1" ht="12.75" customHeight="1">
      <c r="B1" s="14" t="s">
        <v>14</v>
      </c>
      <c r="C1" s="14"/>
      <c r="D1" s="14"/>
      <c r="E1" s="14"/>
      <c r="F1" s="881" t="str">
        <f>IF('Język - Language'!$B$30="Polski",CONCATENATE("Cennik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G1" s="881"/>
      <c r="H1" s="881"/>
      <c r="I1" s="881"/>
      <c r="J1" s="220"/>
      <c r="K1" s="69"/>
    </row>
    <row r="2" spans="2:12" s="218" customFormat="1" ht="12.75" customHeight="1">
      <c r="F2" s="881"/>
      <c r="G2" s="881"/>
      <c r="H2" s="881"/>
      <c r="I2" s="881"/>
      <c r="J2" s="220"/>
      <c r="K2" s="69"/>
    </row>
    <row r="3" spans="2:12" s="218" customFormat="1" ht="12.75" customHeight="1">
      <c r="F3" s="881"/>
      <c r="G3" s="881"/>
      <c r="H3" s="881"/>
      <c r="I3" s="881"/>
      <c r="J3" s="220"/>
      <c r="K3" s="69"/>
    </row>
    <row r="4" spans="2:12" s="221" customFormat="1" ht="12.75" customHeight="1">
      <c r="B4" s="91"/>
      <c r="C4" s="91" t="str">
        <f>IF('Język - Language'!$B$30="Polski","            Produkty Content Marketingowe","            Content Marketing")</f>
        <v xml:space="preserve">            Produkty Content Marketingowe</v>
      </c>
      <c r="D4" s="70"/>
      <c r="E4" s="70"/>
      <c r="G4" s="215" t="str">
        <f>IF('Język - Language'!$B$30="Polski","PL","EN")</f>
        <v>PL</v>
      </c>
    </row>
    <row r="5" spans="2:12" ht="12.75" customHeight="1"/>
    <row r="6" spans="2:12" ht="12.75" customHeight="1"/>
    <row r="7" spans="2:12" s="218" customFormat="1" ht="12.75">
      <c r="C7" s="233" t="s">
        <v>66</v>
      </c>
    </row>
    <row r="8" spans="2:12" s="218" customFormat="1" ht="12.75" customHeight="1">
      <c r="B8" s="22"/>
      <c r="C8" s="1146" t="s">
        <v>67</v>
      </c>
      <c r="D8" s="981" t="str">
        <f>IF('Język - Language'!$B$30="Polski","ARTYKUŁ SPONSOROWANY Z GWARANCJĄ","ADVERTORIAL WITH A GUARANTEE")</f>
        <v>ARTYKUŁ SPONSOROWANY Z GWARANCJĄ</v>
      </c>
      <c r="E8" s="981"/>
      <c r="F8" s="981" t="str">
        <f>IF('Język - Language'!$B$30="Polski","ARTYKUŁ SPONSOROWANY","ADVERTORIAL")</f>
        <v>ARTYKUŁ SPONSOROWANY</v>
      </c>
      <c r="G8" s="981"/>
      <c r="H8" s="1242" t="str">
        <f>IF('Język - Language'!$B$30="Polski","ARTYKUŁ SPONSOROWANY LOKALNY","LOCAL ADVERTORIAL")</f>
        <v>ARTYKUŁ SPONSOROWANY LOKALNY</v>
      </c>
      <c r="I8" s="1243"/>
    </row>
    <row r="9" spans="2:12" s="218" customFormat="1" ht="12.75" customHeight="1">
      <c r="B9" s="22"/>
      <c r="C9" s="1146"/>
      <c r="D9" s="981"/>
      <c r="E9" s="981"/>
      <c r="F9" s="981"/>
      <c r="G9" s="981"/>
      <c r="H9" s="1242"/>
      <c r="I9" s="1243"/>
    </row>
    <row r="10" spans="2:12" s="218" customFormat="1" ht="12.75" customHeight="1">
      <c r="B10" s="216"/>
      <c r="C10" s="1146"/>
      <c r="D10" s="981" t="str">
        <f>IF('Język - Language'!$B$30="Polski","Flat Fee 7 dni / net net","Flat Fee 7 days / net net")</f>
        <v>Flat Fee 7 dni / net net</v>
      </c>
      <c r="E10" s="981"/>
      <c r="F10" s="981" t="str">
        <f>IF('Język - Language'!$B$30="Polski","Flat Fee 7 dni / net net","Flat Fee 7 days / net net")</f>
        <v>Flat Fee 7 dni / net net</v>
      </c>
      <c r="G10" s="981"/>
      <c r="H10" s="1242" t="str">
        <f>IF('Język - Language'!$B$30="Polski","Flat Fee 7 dni / net net","Flat Fee 7 days / net net")</f>
        <v>Flat Fee 7 dni / net net</v>
      </c>
      <c r="I10" s="1243"/>
    </row>
    <row r="11" spans="2:12" s="218" customFormat="1" ht="25.5" customHeight="1">
      <c r="B11" s="1227" t="str">
        <f>IF('Język - Language'!$B$30="Polski","FLAT FEE","FLAT FEE")</f>
        <v>FLAT FEE</v>
      </c>
      <c r="C11" s="448" t="s">
        <v>68</v>
      </c>
      <c r="D11" s="1229" t="s">
        <v>75</v>
      </c>
      <c r="E11" s="1230"/>
      <c r="F11" s="1236" t="s">
        <v>74</v>
      </c>
      <c r="G11" s="1237"/>
      <c r="H11" s="1244" t="str">
        <f>IF('Język - Language'!$B$30="Polski","nd","n/a")</f>
        <v>nd</v>
      </c>
      <c r="I11" s="1245"/>
    </row>
    <row r="12" spans="2:12" s="218" customFormat="1" ht="25.5" customHeight="1">
      <c r="B12" s="1227"/>
      <c r="C12" s="447" t="s">
        <v>69</v>
      </c>
      <c r="D12" s="1229" t="s">
        <v>76</v>
      </c>
      <c r="E12" s="1230"/>
      <c r="F12" s="1236"/>
      <c r="G12" s="1237"/>
      <c r="H12" s="1244"/>
      <c r="I12" s="1245"/>
    </row>
    <row r="13" spans="2:12" s="218" customFormat="1" ht="25.5" customHeight="1">
      <c r="B13" s="1227"/>
      <c r="C13" s="447" t="s">
        <v>70</v>
      </c>
      <c r="D13" s="1229" t="s">
        <v>77</v>
      </c>
      <c r="E13" s="1230"/>
      <c r="F13" s="1236"/>
      <c r="G13" s="1237"/>
      <c r="H13" s="1244"/>
      <c r="I13" s="1245"/>
    </row>
    <row r="14" spans="2:12" s="218" customFormat="1" ht="25.5" customHeight="1">
      <c r="B14" s="1227"/>
      <c r="C14" s="161" t="s">
        <v>71</v>
      </c>
      <c r="D14" s="1229" t="s">
        <v>78</v>
      </c>
      <c r="E14" s="1230"/>
      <c r="F14" s="1238"/>
      <c r="G14" s="1239"/>
      <c r="H14" s="1246"/>
      <c r="I14" s="1247"/>
    </row>
    <row r="15" spans="2:12" s="218" customFormat="1" ht="25.5" customHeight="1">
      <c r="B15" s="1228"/>
      <c r="C15" s="162" t="s">
        <v>72</v>
      </c>
      <c r="D15" s="1231" t="str">
        <f>IF('Język - Language'!$B$30="Polski","nd","n/a")</f>
        <v>nd</v>
      </c>
      <c r="E15" s="1232"/>
      <c r="F15" s="1240" t="s">
        <v>73</v>
      </c>
      <c r="G15" s="1241"/>
      <c r="H15" s="1248">
        <v>2000</v>
      </c>
      <c r="I15" s="1249"/>
    </row>
    <row r="16" spans="2:12" s="218" customFormat="1" ht="12.75" customHeight="1">
      <c r="B16" s="216"/>
      <c r="C16" s="165"/>
      <c r="D16" s="275"/>
      <c r="E16" s="275"/>
      <c r="F16" s="170"/>
      <c r="G16" s="170"/>
      <c r="H16" s="169"/>
      <c r="I16" s="169"/>
      <c r="J16" s="169"/>
      <c r="L16" s="454"/>
    </row>
    <row r="17" spans="2:13" s="218" customFormat="1" ht="12.75" customHeight="1">
      <c r="B17" s="216"/>
      <c r="C17" s="165"/>
      <c r="D17" s="275"/>
      <c r="E17" s="275"/>
      <c r="F17" s="170"/>
      <c r="G17" s="170"/>
      <c r="H17" s="169"/>
      <c r="I17" s="169"/>
      <c r="J17" s="169"/>
      <c r="L17" s="454"/>
    </row>
    <row r="18" spans="2:13" s="218" customFormat="1" ht="12.75" customHeight="1">
      <c r="B18" s="216"/>
      <c r="C18" s="163" t="str">
        <f>IF('Język - Language'!$B$30="Polski","ARTYKUŁ SPONSOROWANY LOKALNY - OPCJE DODATKOWE / DOPŁATY DO CENY PODSTAWOWEJ:","ADDITIONAL OPTIONS / EXTRA CHARGES TO BASIC PRICE:")</f>
        <v>ARTYKUŁ SPONSOROWANY LOKALNY - OPCJE DODATKOWE / DOPŁATY DO CENY PODSTAWOWEJ:</v>
      </c>
      <c r="D18" s="275"/>
      <c r="E18" s="275"/>
      <c r="F18" s="170"/>
      <c r="G18" s="170"/>
      <c r="H18" s="169"/>
      <c r="I18" s="169"/>
      <c r="J18" s="169"/>
      <c r="L18" s="454"/>
    </row>
    <row r="19" spans="2:13" s="218" customFormat="1" ht="25.5" customHeight="1">
      <c r="B19" s="22"/>
      <c r="C19" s="1151" t="str">
        <f>IF('Język - Language'!$B$30="Polski","WOJEWÓDZTWO","PROVINCE")</f>
        <v>WOJEWÓDZTWO</v>
      </c>
      <c r="D19" s="1153" t="str">
        <f>IF('Język - Language'!$B$30="Polski","GEOTARGETOWANY LINK TEKSTOWY NA SG WP¹","TEXTUAL LINK WITH GEOTARGETING IN THE WP HP¹")</f>
        <v>GEOTARGETOWANY LINK TEKSTOWY NA SG WP¹</v>
      </c>
      <c r="E19" s="1153"/>
      <c r="F19" s="982" t="str">
        <f>IF('Język - Language'!$B$30="Polski","GEOBOX NA SG WP¹","GEOBOX IN THE WP HP¹")</f>
        <v>GEOBOX NA SG WP¹</v>
      </c>
      <c r="G19" s="1233"/>
      <c r="H19" s="169"/>
      <c r="I19" s="169"/>
      <c r="J19" s="169"/>
      <c r="L19" s="454"/>
    </row>
    <row r="20" spans="2:13" s="218" customFormat="1" ht="24.75" customHeight="1">
      <c r="B20" s="216"/>
      <c r="C20" s="1146"/>
      <c r="D20" s="449" t="str">
        <f>IF('Język - Language'!$B$30="Polski","MODUŁ WIADOMOŚCI","CATEGORY NEWS")</f>
        <v>MODUŁ WIADOMOŚCI</v>
      </c>
      <c r="E20" s="457" t="str">
        <f>IF('Język - Language'!$B$30="Polski","MODUŁ SPORT","CATEGORY SPORT")</f>
        <v>MODUŁ SPORT</v>
      </c>
      <c r="F20" s="460" t="str">
        <f>IF('Język - Language'!$B$30="Polski","MODUŁ GWIAZDY","CATEGORY STARS")</f>
        <v>MODUŁ GWIAZDY</v>
      </c>
      <c r="G20" s="459" t="str">
        <f>IF('Język - Language'!$B$30="Polski","MODUŁ  MOTO, TECH, STYL ŻYCIA","CATEGORY AUTOMOTIVE, TECH, LIFESTYLE")</f>
        <v>MODUŁ  MOTO, TECH, STYL ŻYCIA</v>
      </c>
      <c r="H20" s="169"/>
      <c r="I20" s="169"/>
      <c r="J20" s="169"/>
      <c r="L20" s="454"/>
    </row>
    <row r="21" spans="2:13" s="218" customFormat="1" ht="12.75" customHeight="1">
      <c r="B21" s="216"/>
      <c r="C21" s="456"/>
      <c r="D21" s="1083" t="str">
        <f>IF('Język - Language'!$B$30="Polski","Flat Fee 1 dzień / net net","Flat Fee 1 day / net net")</f>
        <v>Flat Fee 1 dzień / net net</v>
      </c>
      <c r="E21" s="1083"/>
      <c r="F21" s="1083" t="str">
        <f>IF('Język - Language'!$B$30="Polski","Flat Fee 7 dni / net net","Flat Fee 7 days / net net")</f>
        <v>Flat Fee 7 dni / net net</v>
      </c>
      <c r="G21" s="1084"/>
      <c r="H21" s="169"/>
      <c r="I21" s="169"/>
      <c r="J21" s="169"/>
      <c r="L21" s="454"/>
    </row>
    <row r="22" spans="2:13" s="218" customFormat="1" ht="25.5" customHeight="1">
      <c r="B22" s="1227" t="s">
        <v>38</v>
      </c>
      <c r="C22" s="172" t="s">
        <v>40</v>
      </c>
      <c r="D22" s="474">
        <v>4500</v>
      </c>
      <c r="E22" s="475">
        <v>3500</v>
      </c>
      <c r="F22" s="480">
        <v>2500</v>
      </c>
      <c r="G22" s="475">
        <v>1500</v>
      </c>
      <c r="H22" s="169"/>
      <c r="I22" s="169"/>
      <c r="J22" s="169"/>
      <c r="L22" s="454"/>
    </row>
    <row r="23" spans="2:13" s="218" customFormat="1" ht="38.25" customHeight="1">
      <c r="B23" s="1227"/>
      <c r="C23" s="281" t="s">
        <v>41</v>
      </c>
      <c r="D23" s="476">
        <v>2000</v>
      </c>
      <c r="E23" s="477">
        <v>1500</v>
      </c>
      <c r="F23" s="481">
        <v>1500</v>
      </c>
      <c r="G23" s="477">
        <v>1000</v>
      </c>
      <c r="H23" s="169"/>
      <c r="I23" s="169"/>
      <c r="J23" s="169"/>
      <c r="L23" s="454"/>
    </row>
    <row r="24" spans="2:13" s="218" customFormat="1" ht="25.5" customHeight="1">
      <c r="B24" s="1227"/>
      <c r="C24" s="161" t="s">
        <v>42</v>
      </c>
      <c r="D24" s="476">
        <v>1500</v>
      </c>
      <c r="E24" s="477">
        <v>1300</v>
      </c>
      <c r="F24" s="481">
        <v>1000</v>
      </c>
      <c r="G24" s="477">
        <v>700</v>
      </c>
      <c r="H24" s="169"/>
      <c r="I24" s="169"/>
      <c r="J24" s="169"/>
      <c r="L24" s="454"/>
    </row>
    <row r="25" spans="2:13" s="218" customFormat="1" ht="38.25" customHeight="1">
      <c r="B25" s="1227"/>
      <c r="C25" s="281" t="s">
        <v>43</v>
      </c>
      <c r="D25" s="476">
        <v>1000</v>
      </c>
      <c r="E25" s="477">
        <v>700</v>
      </c>
      <c r="F25" s="481">
        <v>1000</v>
      </c>
      <c r="G25" s="477">
        <v>700</v>
      </c>
      <c r="H25" s="169"/>
      <c r="I25" s="169"/>
      <c r="J25" s="169"/>
      <c r="L25" s="454"/>
    </row>
    <row r="26" spans="2:13" s="218" customFormat="1" ht="38.25" customHeight="1">
      <c r="B26" s="1227"/>
      <c r="C26" s="282" t="s">
        <v>44</v>
      </c>
      <c r="D26" s="478">
        <v>700</v>
      </c>
      <c r="E26" s="479">
        <v>500</v>
      </c>
      <c r="F26" s="482">
        <v>500</v>
      </c>
      <c r="G26" s="483">
        <v>500</v>
      </c>
      <c r="H26" s="169"/>
      <c r="I26" s="169"/>
      <c r="J26" s="169"/>
      <c r="L26" s="454"/>
    </row>
    <row r="27" spans="2:13" s="218" customFormat="1" ht="12.75">
      <c r="C27" s="165" t="str">
        <f>IF('Język - Language'!$B$30="Polski","¹ wycena net-net, ceny dla 1 województwa","¹ net-net valuation, prices for 1 province")</f>
        <v>¹ wycena net-net, ceny dla 1 województwa</v>
      </c>
      <c r="D27" s="165"/>
      <c r="E27" s="458"/>
      <c r="F27" s="458"/>
      <c r="G27" s="458"/>
      <c r="H27" s="458"/>
      <c r="I27" s="458"/>
      <c r="J27" s="231"/>
      <c r="M27" s="454"/>
    </row>
    <row r="28" spans="2:13" s="218" customFormat="1" ht="12.75">
      <c r="C28" s="165"/>
      <c r="D28" s="165"/>
      <c r="E28" s="467"/>
      <c r="F28" s="467"/>
      <c r="G28" s="467"/>
      <c r="H28" s="467"/>
      <c r="I28" s="467"/>
      <c r="J28" s="231"/>
      <c r="M28" s="454"/>
    </row>
    <row r="29" spans="2:13" s="218" customFormat="1" ht="12.75">
      <c r="C29" s="165"/>
      <c r="D29" s="165"/>
      <c r="E29" s="458"/>
      <c r="F29" s="458"/>
      <c r="G29" s="458"/>
      <c r="H29" s="458"/>
      <c r="I29" s="458"/>
      <c r="J29" s="231"/>
      <c r="M29" s="454"/>
    </row>
    <row r="30" spans="2:13" s="218" customFormat="1" ht="12.75" customHeight="1">
      <c r="B30" s="216"/>
      <c r="C30" s="279" t="s">
        <v>79</v>
      </c>
      <c r="D30" s="275"/>
      <c r="E30" s="275"/>
      <c r="F30" s="170"/>
      <c r="G30" s="170"/>
      <c r="H30" s="169"/>
      <c r="I30" s="169"/>
      <c r="J30" s="169"/>
      <c r="L30" s="454"/>
    </row>
    <row r="31" spans="2:13" s="218" customFormat="1" ht="12.75" customHeight="1">
      <c r="B31" s="22"/>
      <c r="C31" s="1234" t="str">
        <f>IF('Język - Language'!$B$30="Polski","LICZBA ARTYKUŁÓW","NUMBER OF ARTICLES")</f>
        <v>LICZBA ARTYKUŁÓW</v>
      </c>
      <c r="D31" s="982" t="str">
        <f>IF('Język - Language'!$B$30="Polski","PRÓG #1","OPTION #1")</f>
        <v>PRÓG #1</v>
      </c>
      <c r="E31" s="982"/>
      <c r="F31" s="982" t="str">
        <f>IF('Język - Language'!$B$30="Polski","PRÓG #2","OPTION #2")</f>
        <v>PRÓG #2</v>
      </c>
      <c r="G31" s="1233"/>
    </row>
    <row r="32" spans="2:13" s="218" customFormat="1" ht="12.75" customHeight="1">
      <c r="B32" s="22"/>
      <c r="C32" s="1235"/>
      <c r="D32" s="453" t="str">
        <f>IF('Język - Language'!$B$30="Polski","ZASIĘG","REACH")</f>
        <v>ZASIĘG</v>
      </c>
      <c r="E32" s="274" t="str">
        <f>IF('Język - Language'!$B$30="Polski","Flat Fee 7 dni / net net","Flat Fee 7 days / net net")</f>
        <v>Flat Fee 7 dni / net net</v>
      </c>
      <c r="F32" s="464" t="str">
        <f>IF('Język - Language'!$B$30="Polski","ZASIĘG","REACH")</f>
        <v>ZASIĘG</v>
      </c>
      <c r="G32" s="465" t="str">
        <f>IF('Język - Language'!$B$30="Polski","Flat Fee 7 dni / net net","Flat Fee 7 days / net net")</f>
        <v>Flat Fee 7 dni / net net</v>
      </c>
    </row>
    <row r="33" spans="2:13" s="218" customFormat="1" ht="25.5" customHeight="1">
      <c r="B33" s="1227" t="str">
        <f>IF('Język - Language'!$B$30="Polski","FLAT FEE","FLAT FEE")</f>
        <v>FLAT FEE</v>
      </c>
      <c r="C33" s="265">
        <v>1</v>
      </c>
      <c r="D33" s="276" t="s">
        <v>56</v>
      </c>
      <c r="E33" s="484">
        <v>12000</v>
      </c>
      <c r="F33" s="466" t="s">
        <v>60</v>
      </c>
      <c r="G33" s="475">
        <v>15000</v>
      </c>
    </row>
    <row r="34" spans="2:13" s="218" customFormat="1" ht="25.5" customHeight="1">
      <c r="B34" s="1227"/>
      <c r="C34" s="266">
        <v>2</v>
      </c>
      <c r="D34" s="451" t="s">
        <v>57</v>
      </c>
      <c r="E34" s="477">
        <v>22800</v>
      </c>
      <c r="F34" s="463" t="s">
        <v>61</v>
      </c>
      <c r="G34" s="477">
        <v>28500</v>
      </c>
    </row>
    <row r="35" spans="2:13" s="218" customFormat="1" ht="25.5" customHeight="1">
      <c r="B35" s="1227"/>
      <c r="C35" s="267">
        <v>3</v>
      </c>
      <c r="D35" s="451" t="s">
        <v>58</v>
      </c>
      <c r="E35" s="477">
        <v>32400</v>
      </c>
      <c r="F35" s="463" t="s">
        <v>62</v>
      </c>
      <c r="G35" s="477">
        <v>40500</v>
      </c>
    </row>
    <row r="36" spans="2:13" s="218" customFormat="1" ht="25.5" customHeight="1">
      <c r="B36" s="1228"/>
      <c r="C36" s="455">
        <v>4</v>
      </c>
      <c r="D36" s="452" t="s">
        <v>59</v>
      </c>
      <c r="E36" s="479">
        <v>40800</v>
      </c>
      <c r="F36" s="462" t="s">
        <v>63</v>
      </c>
      <c r="G36" s="479">
        <v>51000</v>
      </c>
    </row>
    <row r="37" spans="2:13" s="218" customFormat="1" ht="12.75" customHeight="1">
      <c r="B37" s="216"/>
      <c r="C37" s="168"/>
      <c r="D37" s="275"/>
      <c r="E37" s="275"/>
      <c r="F37" s="170"/>
      <c r="G37" s="170"/>
      <c r="H37" s="169"/>
      <c r="I37" s="169"/>
      <c r="J37" s="169"/>
      <c r="L37" s="454"/>
    </row>
    <row r="38" spans="2:13" s="218" customFormat="1" ht="12.75" customHeight="1">
      <c r="B38" s="216"/>
      <c r="C38" s="168"/>
      <c r="D38" s="275"/>
      <c r="E38" s="275"/>
      <c r="F38" s="170"/>
      <c r="G38" s="170"/>
      <c r="H38" s="169"/>
      <c r="I38" s="169"/>
      <c r="J38" s="169"/>
      <c r="L38" s="454"/>
    </row>
    <row r="39" spans="2:13" s="218" customFormat="1" ht="12.75" customHeight="1">
      <c r="B39" s="216"/>
      <c r="C39" s="280" t="s">
        <v>213</v>
      </c>
      <c r="D39" s="275"/>
      <c r="E39" s="275"/>
      <c r="F39" s="170"/>
      <c r="G39" s="170"/>
      <c r="H39" s="169"/>
      <c r="I39" s="169"/>
      <c r="J39" s="169"/>
      <c r="L39" s="454"/>
    </row>
    <row r="40" spans="2:13" s="218" customFormat="1" ht="25.5" customHeight="1">
      <c r="B40" s="216"/>
      <c r="C40" s="1146" t="str">
        <f>IF('Język - Language'!$B$30="Polski","MIEJSCE EMISJI","PLACE OF EMISSION")</f>
        <v>MIEJSCE EMISJI</v>
      </c>
      <c r="D40" s="981" t="s">
        <v>213</v>
      </c>
      <c r="E40" s="986"/>
      <c r="F40" s="454"/>
    </row>
    <row r="41" spans="2:13" s="218" customFormat="1" ht="12.75" customHeight="1">
      <c r="B41" s="216"/>
      <c r="C41" s="1146"/>
      <c r="D41" s="553" t="s">
        <v>214</v>
      </c>
      <c r="E41" s="554" t="s">
        <v>81</v>
      </c>
      <c r="F41" s="454"/>
    </row>
    <row r="42" spans="2:13" s="218" customFormat="1" ht="38.25" customHeight="1">
      <c r="B42" s="450" t="s">
        <v>38</v>
      </c>
      <c r="C42" s="162" t="s">
        <v>157</v>
      </c>
      <c r="D42" s="557" t="s">
        <v>215</v>
      </c>
      <c r="E42" s="555" t="s">
        <v>82</v>
      </c>
      <c r="F42" s="556"/>
    </row>
    <row r="43" spans="2:13" s="218" customFormat="1" ht="12.75" customHeight="1">
      <c r="B43" s="216"/>
      <c r="C43" s="165"/>
      <c r="D43" s="275"/>
      <c r="E43" s="275"/>
      <c r="F43" s="170"/>
      <c r="G43" s="170"/>
      <c r="H43" s="169"/>
      <c r="I43" s="169"/>
      <c r="J43" s="169"/>
      <c r="L43" s="454"/>
    </row>
    <row r="44" spans="2:13" s="218" customFormat="1" ht="12.75" customHeight="1">
      <c r="C44" s="153"/>
      <c r="D44" s="153"/>
      <c r="E44" s="153"/>
      <c r="F44" s="153"/>
      <c r="G44" s="153"/>
      <c r="H44" s="153"/>
      <c r="I44" s="153"/>
      <c r="J44" s="153"/>
      <c r="M44" s="356"/>
    </row>
    <row r="45" spans="2:13" s="218" customFormat="1" ht="12.75" customHeight="1">
      <c r="C45" s="163" t="str">
        <f>IF('Język - Language'!$B$30="Polski","INFORMACJE DODATKOWE: ","FURTHER INFORMATION: ")</f>
        <v xml:space="preserve">INFORMACJE DODATKOWE: </v>
      </c>
      <c r="D45" s="163"/>
      <c r="E45" s="458"/>
      <c r="F45" s="458"/>
      <c r="G45" s="458"/>
      <c r="H45" s="458"/>
      <c r="I45" s="458"/>
      <c r="J45" s="152" t="s">
        <v>14</v>
      </c>
      <c r="M45" s="356"/>
    </row>
    <row r="46" spans="2:13" s="218" customFormat="1" ht="12.75" customHeight="1">
      <c r="C46" s="458" t="str">
        <f>IF('Język - Language'!$B$30="Polski","• Artykuł sponsorowany z gwarancją jest promowany do osiągnięcia gwarantowanego zasięgu (max. 14 dni) z wykorzystaniem powierzchni serwisu oraz na SG WP.","• A standard sponsored article includes weekly editorial preview in the HP of a given site in which the article is placed.")</f>
        <v>• Artykuł sponsorowany z gwarancją jest promowany do osiągnięcia gwarantowanego zasięgu (max. 14 dni) z wykorzystaniem powierzchni serwisu oraz na SG WP.</v>
      </c>
      <c r="D46" s="152"/>
      <c r="E46" s="152"/>
      <c r="F46" s="152"/>
      <c r="G46" s="152"/>
      <c r="H46" s="152"/>
      <c r="I46" s="152"/>
      <c r="J46" s="152"/>
      <c r="M46" s="356"/>
    </row>
    <row r="47" spans="2:13" s="218" customFormat="1" ht="12.75" customHeight="1">
      <c r="C47" s="164" t="s">
        <v>104</v>
      </c>
      <c r="D47" s="300"/>
      <c r="E47" s="300"/>
      <c r="F47" s="300"/>
      <c r="G47" s="300"/>
      <c r="H47" s="300"/>
      <c r="I47" s="300"/>
      <c r="J47" s="300"/>
      <c r="M47" s="356"/>
    </row>
    <row r="48" spans="2:13" s="218" customFormat="1">
      <c r="C48" s="231"/>
      <c r="D48" s="231"/>
      <c r="E48" s="458"/>
      <c r="F48" s="458"/>
      <c r="G48" s="458"/>
      <c r="H48" s="458"/>
      <c r="I48" s="458"/>
      <c r="J48" s="231"/>
      <c r="M48" s="356"/>
    </row>
    <row r="49" spans="3:13" s="218" customFormat="1">
      <c r="C49" s="163" t="str">
        <f>IF('Język - Language'!$B$30="Polski","OPCJE DODATKOWE (bez dopłat):","ADDITIONAL OPTIONS:")</f>
        <v>OPCJE DODATKOWE (bez dopłat):</v>
      </c>
      <c r="D49" s="231"/>
      <c r="E49" s="458"/>
      <c r="F49" s="458"/>
      <c r="G49" s="458"/>
      <c r="H49" s="458"/>
      <c r="I49" s="458"/>
      <c r="J49" s="231"/>
      <c r="M49" s="356"/>
    </row>
    <row r="50" spans="3:13" s="218" customFormat="1">
      <c r="C50" s="231" t="str">
        <f>IF('Język - Language'!$B$30="Polski","• Możliwość umieszczenia multimediów w artykule ","• It is possible to place multimedia in an article")</f>
        <v xml:space="preserve">• Możliwość umieszczenia multimediów w artykule </v>
      </c>
      <c r="D50" s="231"/>
      <c r="E50" s="458"/>
      <c r="F50" s="458"/>
      <c r="G50" s="458"/>
      <c r="H50" s="458"/>
      <c r="I50" s="458"/>
      <c r="J50" s="231"/>
      <c r="M50" s="356"/>
    </row>
    <row r="51" spans="3:13" s="218" customFormat="1">
      <c r="C51" s="164" t="str">
        <f>IF('Język - Language'!$B$30="Polski","• Branding artykułu (screening desktop i górny banner mobile)","• Branding (desktop screening &amp; upper mobile banner)")</f>
        <v>• Branding artykułu (screening desktop i górny banner mobile)</v>
      </c>
      <c r="D51" s="231"/>
      <c r="E51" s="458"/>
      <c r="F51" s="458"/>
      <c r="G51" s="458"/>
      <c r="H51" s="458"/>
      <c r="I51" s="458"/>
      <c r="J51" s="231"/>
      <c r="M51" s="356"/>
    </row>
  </sheetData>
  <mergeCells count="30">
    <mergeCell ref="F11:G14"/>
    <mergeCell ref="F15:G15"/>
    <mergeCell ref="H8:I9"/>
    <mergeCell ref="H10:I10"/>
    <mergeCell ref="H11:I14"/>
    <mergeCell ref="H15:I15"/>
    <mergeCell ref="C31:C32"/>
    <mergeCell ref="D31:E31"/>
    <mergeCell ref="F31:G31"/>
    <mergeCell ref="B33:B36"/>
    <mergeCell ref="D40:E40"/>
    <mergeCell ref="C40:C41"/>
    <mergeCell ref="F19:G19"/>
    <mergeCell ref="F21:G21"/>
    <mergeCell ref="C19:C20"/>
    <mergeCell ref="D19:E19"/>
    <mergeCell ref="B22:B26"/>
    <mergeCell ref="D21:E21"/>
    <mergeCell ref="B11:B15"/>
    <mergeCell ref="D11:E11"/>
    <mergeCell ref="D12:E12"/>
    <mergeCell ref="D13:E13"/>
    <mergeCell ref="D14:E14"/>
    <mergeCell ref="D15:E15"/>
    <mergeCell ref="C8:C10"/>
    <mergeCell ref="D8:E9"/>
    <mergeCell ref="D10:E10"/>
    <mergeCell ref="F10:G10"/>
    <mergeCell ref="F1:I3"/>
    <mergeCell ref="F8:G9"/>
  </mergeCells>
  <pageMargins left="0.7" right="0.7" top="0.75" bottom="0.75" header="0.3" footer="0.3"/>
  <pageSetup paperSize="9" orientation="portrait" horizontalDpi="1200" verticalDpi="1200" r:id="rId1"/>
  <ignoredErrors>
    <ignoredError sqref="E32:F32"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10">
    <pageSetUpPr fitToPage="1"/>
  </sheetPr>
  <dimension ref="A1:AA89"/>
  <sheetViews>
    <sheetView zoomScaleNormal="100" workbookViewId="0">
      <pane ySplit="4" topLeftCell="A5" activePane="bottomLeft" state="frozen"/>
      <selection pane="bottomLeft" activeCell="A6" sqref="A6"/>
    </sheetView>
  </sheetViews>
  <sheetFormatPr defaultColWidth="11.42578125" defaultRowHeight="12.75"/>
  <cols>
    <col min="1" max="1" width="5.7109375" style="58" customWidth="1"/>
    <col min="2" max="2" width="20.42578125" style="58" customWidth="1"/>
    <col min="3" max="3" width="70.85546875" style="58" customWidth="1"/>
    <col min="4" max="4" width="43.85546875" style="58" customWidth="1"/>
    <col min="5" max="5" width="5.42578125" style="58" customWidth="1"/>
    <col min="6" max="6" width="33.42578125" style="58" customWidth="1"/>
    <col min="7" max="16384" width="11.42578125" style="58"/>
  </cols>
  <sheetData>
    <row r="1" spans="1:12" ht="12.75" customHeight="1">
      <c r="A1" s="92"/>
      <c r="B1" s="92"/>
      <c r="C1" s="881" t="str">
        <f>IF('Język - Language'!$B$30="Polski",CONCATENATE("Cennik Reklamowy Wirtualna Polska Media S.A. - obowiązuje od 1.02.2021 r.",CHAR(10),"W celu zasięgnięcia dodatkowych informacji prosimy o kontakt z Biurem Reklamy,",CHAR(10),"reklama@grupawp.pl, tel. (+48) 22 57 63 900; fax (+48) 22 57 63 959"),CONCATENATE("Advertising price list of Wirtualna Polska Media S.A. - valid from February 1, 2021",CHAR(10),"For further information please contact the Advertising Office of WP,",CHAR(10),"reklama@grupawp.pl, phone (+48) 22 57 63 900; fax (+48) 22 57 63 959"))</f>
        <v>Cennik Reklamowy Wirtualna Polska Media S.A. - obowiązuje od 1.02.2021 r.
W celu zasięgnięcia dodatkowych informacji prosimy o kontakt z Biurem Reklamy,
reklama@grupawp.pl, tel. (+48) 22 57 63 900; fax (+48) 22 57 63 959</v>
      </c>
      <c r="D1" s="881"/>
      <c r="E1" s="63"/>
      <c r="F1" s="63"/>
      <c r="G1" s="218"/>
      <c r="H1" s="218"/>
      <c r="I1" s="218"/>
      <c r="J1" s="218"/>
      <c r="K1" s="218"/>
      <c r="L1" s="218"/>
    </row>
    <row r="2" spans="1:12" ht="12.75" customHeight="1">
      <c r="A2" s="92"/>
      <c r="B2" s="92"/>
      <c r="C2" s="881"/>
      <c r="D2" s="881"/>
      <c r="E2" s="63"/>
      <c r="F2" s="63"/>
      <c r="G2" s="218"/>
      <c r="H2" s="218"/>
      <c r="I2" s="218"/>
      <c r="J2" s="218"/>
      <c r="K2" s="218"/>
      <c r="L2" s="218"/>
    </row>
    <row r="3" spans="1:12" ht="12.75" customHeight="1">
      <c r="A3" s="92"/>
      <c r="B3" s="92"/>
      <c r="C3" s="881"/>
      <c r="D3" s="881"/>
      <c r="E3" s="63"/>
      <c r="F3" s="63"/>
      <c r="G3" s="218"/>
      <c r="H3" s="218"/>
      <c r="I3" s="218"/>
      <c r="J3" s="218"/>
      <c r="K3" s="218"/>
      <c r="L3" s="218"/>
    </row>
    <row r="4" spans="1:12" s="32" customFormat="1" ht="12.75" customHeight="1">
      <c r="A4" s="221"/>
      <c r="B4" s="33" t="str">
        <f>IF('Język - Language'!$B$30="Polski","            Opcje emisji, dopłaty i uwagi dodatkowe","            Extra charges, additional service and further comments")</f>
        <v xml:space="preserve">            Opcje emisji, dopłaty i uwagi dodatkowe</v>
      </c>
      <c r="C4" s="34"/>
      <c r="D4" s="215" t="str">
        <f>IF('Język - Language'!$B$30="Polski","PL","EN")</f>
        <v>PL</v>
      </c>
      <c r="E4" s="221"/>
      <c r="F4" s="221"/>
      <c r="G4" s="221"/>
      <c r="H4" s="221"/>
      <c r="I4" s="221"/>
      <c r="J4" s="221"/>
      <c r="K4" s="221"/>
      <c r="L4" s="221"/>
    </row>
    <row r="5" spans="1:12" ht="12.75" customHeight="1">
      <c r="A5" s="218"/>
      <c r="B5" s="218"/>
      <c r="C5" s="218"/>
      <c r="D5" s="218"/>
      <c r="E5" s="218"/>
      <c r="F5" s="218"/>
      <c r="G5" s="218"/>
      <c r="H5" s="218"/>
      <c r="I5" s="218"/>
      <c r="J5" s="218"/>
      <c r="K5" s="218"/>
      <c r="L5" s="218"/>
    </row>
    <row r="6" spans="1:12" ht="12.75" customHeight="1">
      <c r="A6" s="218"/>
      <c r="B6" s="216"/>
      <c r="C6" s="216"/>
      <c r="D6" s="216"/>
      <c r="E6" s="218"/>
      <c r="F6" s="218"/>
      <c r="G6" s="218"/>
      <c r="H6" s="218"/>
      <c r="I6" s="218"/>
      <c r="J6" s="218"/>
      <c r="K6" s="218"/>
      <c r="L6" s="218"/>
    </row>
    <row r="7" spans="1:12" ht="25.5" customHeight="1">
      <c r="A7" s="216"/>
      <c r="B7" s="1147" t="str">
        <f>IF('Język - Language'!$B$30="Polski","OPCJE EMISJI","ADDITIONAL OPTIONS")</f>
        <v>OPCJE EMISJI</v>
      </c>
      <c r="C7" s="1147"/>
      <c r="D7" s="252" t="str">
        <f>IF('Język - Language'!$B$30="Polski","DOPŁATA","EXTRA CHARGE")</f>
        <v>DOPŁATA</v>
      </c>
      <c r="E7" s="218"/>
      <c r="F7" s="218"/>
      <c r="G7" s="218"/>
      <c r="H7" s="218"/>
      <c r="I7" s="218"/>
      <c r="J7" s="218"/>
      <c r="K7" s="218"/>
      <c r="L7" s="218"/>
    </row>
    <row r="8" spans="1:12" s="183" customFormat="1" ht="12.75" customHeight="1">
      <c r="A8" s="218"/>
      <c r="B8" s="1258" t="str">
        <f>IF('Język - Language'!$B$30="Polski","Emisja Flat Fee w okresie wzmożonego popytu (Black Week, 13-26 grudnia oraz 2 tygodnie przed Wielkanocą)","Flat Fee emission in the period of increased demand (Black Week, 13-26 December and 2 weeks before Easter)")</f>
        <v>Emisja Flat Fee w okresie wzmożonego popytu (Black Week, 13-26 grudnia oraz 2 tygodnie przed Wielkanocą)</v>
      </c>
      <c r="C8" s="1258"/>
      <c r="D8" s="254" t="s">
        <v>52</v>
      </c>
      <c r="E8" s="19"/>
      <c r="F8" s="126"/>
      <c r="G8" s="126"/>
      <c r="H8" s="126"/>
      <c r="I8" s="64"/>
      <c r="J8" s="64"/>
      <c r="K8" s="64"/>
      <c r="L8" s="64"/>
    </row>
    <row r="9" spans="1:12" s="218" customFormat="1" ht="12.75" customHeight="1">
      <c r="B9" s="1258" t="str">
        <f>IF('Język - Language'!$B$30="Polski","Umieszczenie reklamy w wybranym przedziale godzinowym","Displaying ad in selected hourly time slots")</f>
        <v>Umieszczenie reklamy w wybranym przedziale godzinowym</v>
      </c>
      <c r="C9" s="1258"/>
      <c r="D9" s="254" t="s">
        <v>49</v>
      </c>
      <c r="E9" s="19"/>
      <c r="F9" s="126"/>
      <c r="G9" s="126"/>
      <c r="H9" s="126"/>
      <c r="I9" s="64"/>
      <c r="J9" s="64"/>
      <c r="K9" s="64"/>
      <c r="L9" s="64"/>
    </row>
    <row r="10" spans="1:12" ht="12.75" customHeight="1">
      <c r="A10" s="218"/>
      <c r="B10" s="966" t="str">
        <f>IF('Język - Language'!$B$30="Polski","Umieszczenie reklamy w wybranym przedziale godzinowym w opcji last minute","Displaying ad in selected hourly time slots (last minute)")</f>
        <v>Umieszczenie reklamy w wybranym przedziale godzinowym w opcji last minute</v>
      </c>
      <c r="C10" s="968"/>
      <c r="D10" s="254" t="s">
        <v>50</v>
      </c>
      <c r="E10" s="19"/>
      <c r="F10" s="126"/>
      <c r="G10" s="126"/>
      <c r="H10" s="126"/>
      <c r="I10" s="64"/>
      <c r="J10" s="64"/>
      <c r="K10" s="64"/>
      <c r="L10" s="64"/>
    </row>
    <row r="11" spans="1:12" ht="12.75" customHeight="1">
      <c r="A11" s="218"/>
      <c r="B11" s="1258" t="str">
        <f>IF('Język - Language'!$B$30="Polski","Ukierunkowanie reklamy do użytkowników wybranej przeglądarki internetowej","Directing ad to users using selected internet browser")</f>
        <v>Ukierunkowanie reklamy do użytkowników wybranej przeglądarki internetowej</v>
      </c>
      <c r="C11" s="1258"/>
      <c r="D11" s="255" t="s">
        <v>49</v>
      </c>
      <c r="E11" s="218"/>
      <c r="F11" s="126"/>
      <c r="G11" s="126"/>
      <c r="H11" s="126"/>
      <c r="I11" s="216"/>
      <c r="J11" s="216"/>
      <c r="K11" s="216"/>
      <c r="L11" s="216"/>
    </row>
    <row r="12" spans="1:12" ht="12.75" customHeight="1">
      <c r="A12" s="218"/>
      <c r="B12" s="1256" t="str">
        <f>IF('Język - Language'!$B$30="Polski","Ukierunkowanie reklamy do użytkowników wybranego systemu operacyjnego","Directing ad to users using selected operational system")</f>
        <v>Ukierunkowanie reklamy do użytkowników wybranego systemu operacyjnego</v>
      </c>
      <c r="C12" s="1256"/>
      <c r="D12" s="255" t="s">
        <v>50</v>
      </c>
      <c r="E12" s="218"/>
      <c r="F12" s="126"/>
      <c r="G12" s="126"/>
      <c r="H12" s="126"/>
      <c r="I12" s="1260"/>
      <c r="J12" s="1260"/>
      <c r="K12" s="1260"/>
      <c r="L12" s="65"/>
    </row>
    <row r="13" spans="1:12" ht="12.75" customHeight="1">
      <c r="A13" s="218"/>
      <c r="B13" s="1259" t="str">
        <f>IF('Język - Language'!$B$30="Polski","Ukierunkowanie reklamy do użytkowników wybranej marki lub modelu telefonu","Directing ad to users of selected brand or type of cell phone")</f>
        <v>Ukierunkowanie reklamy do użytkowników wybranej marki lub modelu telefonu</v>
      </c>
      <c r="C13" s="1259"/>
      <c r="D13" s="255" t="s">
        <v>49</v>
      </c>
      <c r="E13" s="218"/>
      <c r="F13" s="126"/>
      <c r="G13" s="126"/>
      <c r="H13" s="126"/>
      <c r="I13" s="1260"/>
      <c r="J13" s="1260"/>
      <c r="K13" s="1260"/>
      <c r="L13" s="65"/>
    </row>
    <row r="14" spans="1:12" ht="12.75" customHeight="1">
      <c r="A14" s="218"/>
      <c r="B14" s="1256" t="str">
        <f>IF('Język - Language'!$B$30="Polski","Ograniczenie ilości odsłon reklamy do pojedynczego użytkownika","Capping ad to single users")</f>
        <v>Ograniczenie ilości odsłon reklamy do pojedynczego użytkownika</v>
      </c>
      <c r="C14" s="1256"/>
      <c r="D14" s="255" t="s">
        <v>50</v>
      </c>
      <c r="E14" s="19"/>
      <c r="F14" s="126"/>
      <c r="G14" s="126"/>
      <c r="H14" s="126"/>
      <c r="I14" s="1260"/>
      <c r="J14" s="1260"/>
      <c r="K14" s="1260"/>
      <c r="L14" s="65"/>
    </row>
    <row r="15" spans="1:12" ht="12.75" customHeight="1">
      <c r="A15" s="218"/>
      <c r="B15" s="966" t="str">
        <f>IF('Język - Language'!$B$30="Polski","Targetowanie po operatorach (Play, Plus, T-mobile, Orange)","Directing ad to users who use Play, Plus, T-mobile or Orange provider ")</f>
        <v>Targetowanie po operatorach (Play, Plus, T-mobile, Orange)</v>
      </c>
      <c r="C15" s="968"/>
      <c r="D15" s="255" t="s">
        <v>48</v>
      </c>
      <c r="E15" s="218"/>
      <c r="F15" s="126"/>
      <c r="G15" s="126"/>
      <c r="H15" s="126"/>
      <c r="I15" s="1260"/>
      <c r="J15" s="1260"/>
      <c r="K15" s="1260"/>
      <c r="L15" s="65"/>
    </row>
    <row r="16" spans="1:12" ht="12.75" customHeight="1">
      <c r="A16" s="218"/>
      <c r="B16" s="966" t="str">
        <f>IF('Język - Language'!$B$30="Polski","Targetowanie po dostawcy Internetu (tylko display, wymagane 10 dni roboczych na przygotowanie)","Directing ad to users who use selected internet provider (applicable to display only; 10 working days earlier)")</f>
        <v>Targetowanie po dostawcy Internetu (tylko display, wymagane 10 dni roboczych na przygotowanie)</v>
      </c>
      <c r="C16" s="968"/>
      <c r="D16" s="255" t="s">
        <v>47</v>
      </c>
      <c r="E16" s="218"/>
      <c r="F16" s="126"/>
      <c r="G16" s="126"/>
      <c r="H16" s="126"/>
      <c r="I16" s="256"/>
      <c r="J16" s="256"/>
      <c r="K16" s="256"/>
      <c r="L16" s="65"/>
    </row>
    <row r="17" spans="1:12" ht="12.75" customHeight="1">
      <c r="A17" s="218"/>
      <c r="B17" s="1257" t="str">
        <f>IF('Język - Language'!$B$30="Polski","Wideo w kreacji ","Adding video in creative")</f>
        <v xml:space="preserve">Wideo w kreacji </v>
      </c>
      <c r="C17" s="1257"/>
      <c r="D17" s="255" t="s">
        <v>48</v>
      </c>
      <c r="E17" s="19"/>
      <c r="F17" s="126"/>
      <c r="G17" s="126"/>
      <c r="H17" s="126"/>
      <c r="I17" s="1276"/>
      <c r="J17" s="1276"/>
      <c r="K17" s="1276"/>
      <c r="L17" s="65"/>
    </row>
    <row r="18" spans="1:12" ht="12.75" customHeight="1">
      <c r="B18" s="1257" t="str">
        <f>IF('Język - Language'!$B$30="Polski","Gwarancja pierwszej pozycji w bloku reklamowym","A guarantee of the first ad position in advertising/placement block")</f>
        <v>Gwarancja pierwszej pozycji w bloku reklamowym</v>
      </c>
      <c r="C18" s="1257"/>
      <c r="D18" s="255" t="s">
        <v>51</v>
      </c>
      <c r="E18" s="19"/>
      <c r="F18" s="126"/>
      <c r="G18" s="126"/>
      <c r="H18" s="126"/>
      <c r="I18" s="258"/>
      <c r="J18" s="258"/>
      <c r="K18" s="258"/>
      <c r="L18" s="65"/>
    </row>
    <row r="19" spans="1:12" ht="12.75" customHeight="1">
      <c r="B19" s="1257" t="str">
        <f>IF('Język - Language'!$B$30="Polski","Emisja wyłącznie na wybranej części serwisu","Displaying ad in selected pages of a given site")</f>
        <v>Emisja wyłącznie na wybranej części serwisu</v>
      </c>
      <c r="C19" s="1257"/>
      <c r="D19" s="255" t="s">
        <v>48</v>
      </c>
      <c r="E19" s="19"/>
      <c r="F19" s="126"/>
      <c r="G19" s="126"/>
      <c r="H19" s="126"/>
      <c r="I19" s="1276"/>
      <c r="J19" s="1276"/>
      <c r="K19" s="1276"/>
      <c r="L19" s="65"/>
    </row>
    <row r="20" spans="1:12" ht="12.75" customHeight="1">
      <c r="B20" s="966" t="str">
        <f>IF('Język - Language'!$B$30="Polski","Tapeta: klikalna / animowana / interaktywna / z kurtyną","Clicable / animated watermark")</f>
        <v>Tapeta: klikalna / animowana / interaktywna / z kurtyną</v>
      </c>
      <c r="C20" s="968"/>
      <c r="D20" s="255" t="s">
        <v>48</v>
      </c>
      <c r="E20" s="218"/>
      <c r="F20" s="126"/>
      <c r="G20" s="126"/>
      <c r="H20" s="126"/>
      <c r="I20" s="1260"/>
      <c r="J20" s="1260"/>
      <c r="K20" s="1260"/>
      <c r="L20" s="65"/>
    </row>
    <row r="21" spans="1:12" ht="12.75" customHeight="1">
      <c r="B21" s="1257" t="str">
        <f>IF('Język - Language'!$B$30="Polski","Wyświetlanie kreacji reklamowych w określonej sekwencji","Displaying ads sequentionally")</f>
        <v>Wyświetlanie kreacji reklamowych w określonej sekwencji</v>
      </c>
      <c r="C21" s="1257"/>
      <c r="D21" s="255" t="s">
        <v>49</v>
      </c>
      <c r="E21" s="19"/>
      <c r="F21" s="126"/>
      <c r="G21" s="126"/>
      <c r="H21" s="126"/>
      <c r="I21" s="1260"/>
      <c r="J21" s="1260"/>
      <c r="K21" s="1260"/>
      <c r="L21" s="65"/>
    </row>
    <row r="22" spans="1:12" ht="12.75" customHeight="1">
      <c r="B22" s="1256" t="str">
        <f>IF('Język - Language'!$B$30="Polski","Logo drugiego klienta w kreacji","Adding second brand in a creative")</f>
        <v>Logo drugiego klienta w kreacji</v>
      </c>
      <c r="C22" s="1256"/>
      <c r="D22" s="255" t="s">
        <v>52</v>
      </c>
      <c r="E22" s="218"/>
      <c r="F22" s="126"/>
      <c r="G22" s="126"/>
      <c r="H22" s="126"/>
      <c r="I22" s="1260"/>
      <c r="J22" s="1260"/>
      <c r="K22" s="1260"/>
      <c r="L22" s="65"/>
    </row>
    <row r="23" spans="1:12" ht="12.75" customHeight="1">
      <c r="B23" s="1256" t="str">
        <f>IF('Język - Language'!$B$30="Polski","Każde następne logo w kreacji","Further brands in a creative")</f>
        <v>Każde następne logo w kreacji</v>
      </c>
      <c r="C23" s="1256"/>
      <c r="D23" s="255" t="s">
        <v>49</v>
      </c>
      <c r="E23" s="218"/>
      <c r="F23" s="126"/>
      <c r="G23" s="126"/>
      <c r="H23" s="126"/>
      <c r="I23" s="1260"/>
      <c r="J23" s="1260"/>
      <c r="K23" s="1260"/>
      <c r="L23" s="216"/>
    </row>
    <row r="24" spans="1:12" ht="12.75" customHeight="1">
      <c r="B24" s="1256" t="str">
        <f>IF('Język - Language'!$B$30="Polski","Przekroczenie wagi kreacji za każdy procent przekroczenia","Exceeding the ad weight for each per cent in excess")</f>
        <v>Przekroczenie wagi kreacji za każdy procent przekroczenia</v>
      </c>
      <c r="C24" s="1256"/>
      <c r="D24" s="255" t="s">
        <v>53</v>
      </c>
      <c r="E24" s="66"/>
      <c r="F24" s="126"/>
      <c r="G24" s="126"/>
      <c r="H24" s="126"/>
      <c r="I24" s="216"/>
      <c r="J24" s="216"/>
      <c r="K24" s="216"/>
      <c r="L24" s="216"/>
    </row>
    <row r="25" spans="1:12" s="102" customFormat="1" ht="12.75" customHeight="1">
      <c r="B25" s="966" t="str">
        <f>IF('Język - Language'!$B$30="Polski","Parallaxa w kreacji (emisja formatu z efektem parallaxy)","Parallax in a creative")</f>
        <v>Parallaxa w kreacji (emisja formatu z efektem parallaxy)</v>
      </c>
      <c r="C25" s="968"/>
      <c r="D25" s="255" t="s">
        <v>50</v>
      </c>
      <c r="E25" s="19"/>
      <c r="F25" s="126"/>
      <c r="G25" s="126"/>
      <c r="H25" s="126"/>
      <c r="I25" s="218"/>
      <c r="J25" s="218"/>
      <c r="K25" s="218"/>
      <c r="L25" s="218"/>
    </row>
    <row r="26" spans="1:12" s="218" customFormat="1" ht="12.75" customHeight="1">
      <c r="B26" s="966" t="str">
        <f>IF('Język - Language'!$B$30="Polski","Karuzela, Scroller, Slider, Cube w kreacji oraz expandowanie formy reklamowej","Carousel, Scroller, Slider, Cube in a creative and expanding of ads")</f>
        <v>Karuzela, Scroller, Slider, Cube w kreacji oraz expandowanie formy reklamowej</v>
      </c>
      <c r="C26" s="968"/>
      <c r="D26" s="255" t="s">
        <v>48</v>
      </c>
      <c r="E26" s="19"/>
      <c r="F26" s="126"/>
      <c r="G26" s="126"/>
      <c r="H26" s="126"/>
    </row>
    <row r="27" spans="1:12" s="218" customFormat="1" ht="12.75" customHeight="1">
      <c r="B27" s="966" t="str">
        <f>IF('Język - Language'!$B$30="Polski","Karuzela XL","Carousel XL")</f>
        <v>Karuzela XL</v>
      </c>
      <c r="C27" s="968"/>
      <c r="D27" s="255" t="s">
        <v>47</v>
      </c>
      <c r="E27" s="19"/>
      <c r="F27" s="126"/>
      <c r="G27" s="126"/>
      <c r="H27" s="126"/>
    </row>
    <row r="28" spans="1:12" ht="12.75" customHeight="1">
      <c r="B28" s="1256" t="str">
        <f>IF('Język - Language'!$B$30="Polski","Mega formaty","Mega Formats")</f>
        <v>Mega formaty</v>
      </c>
      <c r="C28" s="1256"/>
      <c r="D28" s="193" t="str">
        <f>IF('Język - Language'!$B$30="Polski","+50% do ceny formy podstawowej","+50% to basic format price")</f>
        <v>+50% do ceny formy podstawowej</v>
      </c>
      <c r="E28" s="218"/>
      <c r="F28" s="126"/>
      <c r="G28" s="126"/>
      <c r="H28" s="126"/>
      <c r="I28" s="218"/>
      <c r="J28" s="218"/>
      <c r="K28" s="218"/>
      <c r="L28" s="218"/>
    </row>
    <row r="29" spans="1:12" ht="12.75" customHeight="1">
      <c r="B29" s="1257" t="str">
        <f>IF('Język - Language'!$B$30="Polski","Połączenie dwóch form reklamowych","Mixing two ads")</f>
        <v>Połączenie dwóch form reklamowych</v>
      </c>
      <c r="C29" s="1257"/>
      <c r="D29" s="193" t="str">
        <f>IF('Język - Language'!$B$30="Polski","łącznie 150% ceny droższej formy","total of 150% of the price of most expensive format")</f>
        <v>łącznie 150% ceny droższej formy</v>
      </c>
      <c r="E29" s="218"/>
      <c r="F29" s="126"/>
      <c r="G29" s="126"/>
      <c r="H29" s="126"/>
      <c r="I29" s="218"/>
      <c r="J29" s="218"/>
      <c r="K29" s="218"/>
      <c r="L29" s="218"/>
    </row>
    <row r="30" spans="1:12" ht="12.75" customHeight="1">
      <c r="B30" s="966" t="str">
        <f>IF('Język - Language'!$B$30="Polski","Zmiana kreacji w trakcie trwania kampanii display i w mailingu","Changing creative in display and mailing")</f>
        <v>Zmiana kreacji w trakcie trwania kampanii display i w mailingu</v>
      </c>
      <c r="C30" s="968"/>
      <c r="D30" s="193" t="str">
        <f>IF('Język - Language'!$B$30="Polski","+10% za każdą kreację","+10% for each creative")</f>
        <v>+10% za każdą kreację</v>
      </c>
      <c r="E30" s="218"/>
      <c r="F30" s="126"/>
      <c r="G30" s="126"/>
      <c r="H30" s="126"/>
      <c r="I30" s="218"/>
      <c r="J30" s="218"/>
      <c r="K30" s="218"/>
      <c r="L30" s="218"/>
    </row>
    <row r="31" spans="1:12" s="186" customFormat="1" ht="12.75" customHeight="1">
      <c r="B31" s="966" t="str">
        <f>IF('Język - Language'!$B$30="Polski","Pre-Order - rezerwacja na WP SG przed oficjalnym otwarciem rezerwatora na kolejny kwartał","Pre-Order - prior reservation (a guarantee od emission day) on the WP HP")</f>
        <v>Pre-Order - rezerwacja na WP SG przed oficjalnym otwarciem rezerwatora na kolejny kwartał</v>
      </c>
      <c r="C31" s="968"/>
      <c r="D31" s="255" t="s">
        <v>47</v>
      </c>
      <c r="E31" s="218"/>
      <c r="F31" s="126"/>
      <c r="G31" s="126"/>
      <c r="H31" s="126"/>
      <c r="I31" s="218"/>
      <c r="J31" s="218"/>
      <c r="K31" s="218"/>
      <c r="L31" s="218"/>
    </row>
    <row r="32" spans="1:12" s="218" customFormat="1" ht="12.75" customHeight="1">
      <c r="B32" s="966" t="str">
        <f>IF('Język - Language'!$B$30="Polski","Rich Media w kreacji","Rich Media in creation")</f>
        <v>Rich Media w kreacji</v>
      </c>
      <c r="C32" s="968"/>
      <c r="D32" s="255" t="s">
        <v>117</v>
      </c>
      <c r="F32" s="126"/>
      <c r="G32" s="126"/>
      <c r="H32" s="126"/>
    </row>
    <row r="33" spans="1:7" ht="12.75" customHeight="1">
      <c r="A33" s="218"/>
      <c r="B33" s="1258" t="str">
        <f>IF('Język - Language'!$B$30="Polski","Reklama piwa","Beer advertising")</f>
        <v>Reklama piwa</v>
      </c>
      <c r="C33" s="1258"/>
      <c r="D33" s="195" t="s">
        <v>54</v>
      </c>
      <c r="E33" s="218"/>
      <c r="F33" s="218"/>
    </row>
    <row r="34" spans="1:7" ht="12.75" customHeight="1">
      <c r="A34" s="218"/>
      <c r="B34" s="1259" t="str">
        <f>IF('Język - Language'!$B$30="Polski","Targetowanie demograficzne","Demographic targeting")</f>
        <v>Targetowanie demograficzne</v>
      </c>
      <c r="C34" s="1259"/>
      <c r="D34" s="193" t="str">
        <f>IF('Język - Language'!$B$30="Polski","+25% za każde kryterium","+25% for each criterion")</f>
        <v>+25% za każde kryterium</v>
      </c>
      <c r="E34" s="218"/>
      <c r="F34" s="67"/>
    </row>
    <row r="35" spans="1:7" ht="12.75" customHeight="1">
      <c r="A35" s="218"/>
      <c r="B35" s="1257" t="str">
        <f>IF('Język - Language'!$B$30="Polski","Targetowanie geograficzne","Geographic targeting")</f>
        <v>Targetowanie geograficzne</v>
      </c>
      <c r="C35" s="1257"/>
      <c r="D35" s="193" t="str">
        <f>IF('Język - Language'!$B$30="Polski","+50% za każde kryterium","+50% for each criterion")</f>
        <v>+50% za każde kryterium</v>
      </c>
      <c r="E35" s="218"/>
      <c r="F35" s="103"/>
    </row>
    <row r="36" spans="1:7" s="218" customFormat="1" ht="12.75" customHeight="1">
      <c r="B36" s="966" t="str">
        <f>IF('Język - Language'!$B$30="Polski","Targetowanie WP Trapping (docieranie do użytkownika w konkretnych lokalizacjach, np. centra handlowe)","WP Trapping Targeting (reaching the user in specific locations, e.g. shopping centers)")</f>
        <v>Targetowanie WP Trapping (docieranie do użytkownika w konkretnych lokalizacjach, np. centra handlowe)</v>
      </c>
      <c r="C36" s="968"/>
      <c r="D36" s="255" t="s">
        <v>47</v>
      </c>
      <c r="F36" s="103"/>
    </row>
    <row r="37" spans="1:7" s="82" customFormat="1" ht="12.75" customHeight="1">
      <c r="A37" s="218"/>
      <c r="B37" s="1256" t="str">
        <f>IF('Język - Language'!$B$30="Polski","Targetowanie po kategoriach IAB (na wybranej powierzchni)","IAB categories targeting")</f>
        <v>Targetowanie po kategoriach IAB (na wybranej powierzchni)</v>
      </c>
      <c r="C37" s="1256"/>
      <c r="D37" s="193" t="str">
        <f>IF('Język - Language'!$B$30="Polski","+25% za każde kryterium","+25% for each criterion")</f>
        <v>+25% za każde kryterium</v>
      </c>
      <c r="E37" s="218"/>
      <c r="F37" s="68"/>
    </row>
    <row r="38" spans="1:7" ht="12.75" customHeight="1">
      <c r="A38" s="218"/>
      <c r="B38" s="1256" t="str">
        <f>IF('Język - Language'!$B$30="Polski","Retargetowanie","Retargeting")</f>
        <v>Retargetowanie</v>
      </c>
      <c r="C38" s="1256"/>
      <c r="D38" s="196" t="s">
        <v>47</v>
      </c>
      <c r="E38" s="19"/>
      <c r="F38" s="218"/>
    </row>
    <row r="39" spans="1:7" s="218" customFormat="1" ht="12.75" customHeight="1">
      <c r="B39" s="966" t="str">
        <f>IF('Język - Language'!$B$30="Polski","Retail Dniówka","Daily retail offer")</f>
        <v>Retail Dniówka</v>
      </c>
      <c r="C39" s="968"/>
      <c r="D39" s="196" t="s">
        <v>50</v>
      </c>
      <c r="E39" s="19"/>
    </row>
    <row r="40" spans="1:7" ht="12.75" customHeight="1">
      <c r="A40" s="218"/>
      <c r="B40" s="1257" t="str">
        <f>IF('Język - Language'!$B$30="Polski","Wybór emisji tylko na jednym portalu","Selecting either WP or O2 (display and mailing)")</f>
        <v>Wybór emisji tylko na jednym portalu</v>
      </c>
      <c r="C40" s="1257"/>
      <c r="D40" s="196" t="s">
        <v>49</v>
      </c>
      <c r="E40" s="218"/>
      <c r="F40" s="218"/>
    </row>
    <row r="41" spans="1:7" ht="12.75" customHeight="1">
      <c r="A41" s="218"/>
      <c r="B41" s="1257" t="str">
        <f>IF('Język - Language'!$B$30="Polski","Optymalizacja big data w mailingach","Big data optimalization")</f>
        <v>Optymalizacja big data w mailingach</v>
      </c>
      <c r="C41" s="1257"/>
      <c r="D41" s="197" t="s">
        <v>48</v>
      </c>
      <c r="E41" s="218"/>
      <c r="F41" s="218"/>
    </row>
    <row r="42" spans="1:7" ht="25.5" customHeight="1">
      <c r="A42" s="218"/>
      <c r="B42" s="1146" t="str">
        <f>IF('Język - Language'!$B$30="Polski","DODATKOWE OPCJE W MAILINGU","MAILING ADDITIONAL OPTIONS")</f>
        <v>DODATKOWE OPCJE W MAILINGU</v>
      </c>
      <c r="C42" s="1146"/>
      <c r="D42" s="244" t="str">
        <f>IF('Język - Language'!$B$30="Polski","DOPŁATA","EXTRA CHARGE")</f>
        <v>DOPŁATA</v>
      </c>
      <c r="E42" s="218"/>
      <c r="F42" s="218"/>
    </row>
    <row r="43" spans="1:7" ht="12.75" customHeight="1">
      <c r="A43" s="218"/>
      <c r="B43" s="1259" t="str">
        <f>IF('Język - Language'!$B$30="Polski","Mailing do bazy użytkowników wybranego portalu (tylko o2.pl lub tylko WP.pl)","Advertising mailing to o2 email services only or WP email services only")</f>
        <v>Mailing do bazy użytkowników wybranego portalu (tylko o2.pl lub tylko WP.pl)</v>
      </c>
      <c r="C43" s="1259"/>
      <c r="D43" s="194" t="s">
        <v>49</v>
      </c>
      <c r="E43" s="218"/>
      <c r="F43" s="218"/>
    </row>
    <row r="44" spans="1:7" ht="12.75" customHeight="1">
      <c r="A44" s="218"/>
      <c r="B44" s="966" t="str">
        <f>IF('Język - Language'!$B$30="Polski","Odznaczanie bazy mailingowej","Odznaczanie bazy mailingowej")</f>
        <v>Odznaczanie bazy mailingowej</v>
      </c>
      <c r="C44" s="968"/>
      <c r="D44" s="198" t="s">
        <v>48</v>
      </c>
      <c r="E44" s="218"/>
      <c r="F44" s="60"/>
    </row>
    <row r="45" spans="1:7" s="104" customFormat="1" ht="12.75" customHeight="1">
      <c r="A45" s="151"/>
      <c r="B45" s="966" t="str">
        <f>IF('Język - Language'!$B$30="Polski","Wysyłka mailingu w częściach - za drugą i każdą następną część","Mailing in parts - for second and every next part")</f>
        <v>Wysyłka mailingu w częściach - za drugą i każdą następną część</v>
      </c>
      <c r="C45" s="968"/>
      <c r="D45" s="196" t="s">
        <v>49</v>
      </c>
      <c r="E45" s="218"/>
      <c r="F45" s="218"/>
    </row>
    <row r="46" spans="1:7" s="104" customFormat="1" ht="12.75" customHeight="1">
      <c r="A46" s="151"/>
      <c r="B46" s="966" t="str">
        <f>IF('Język - Language'!$B$30="Polski","Retargetowanie mailingu","Retargeted mailing")</f>
        <v>Retargetowanie mailingu</v>
      </c>
      <c r="C46" s="968"/>
      <c r="D46" s="196" t="s">
        <v>47</v>
      </c>
      <c r="E46" s="218"/>
      <c r="F46" s="218"/>
      <c r="G46" s="218"/>
    </row>
    <row r="47" spans="1:7" s="104" customFormat="1" ht="12.75" customHeight="1">
      <c r="A47" s="151"/>
      <c r="B47" s="966" t="str">
        <f>IF('Język - Language'!$B$30="Polski","Personalizacja mailingu WP (login, imię, nazwisko)","Personalization in WP Mailing (login, name, surname)")</f>
        <v>Personalizacja mailingu WP (login, imię, nazwisko)</v>
      </c>
      <c r="C47" s="968"/>
      <c r="D47" s="196" t="s">
        <v>48</v>
      </c>
      <c r="E47" s="218"/>
      <c r="F47" s="218"/>
      <c r="G47" s="218"/>
    </row>
    <row r="48" spans="1:7" s="104" customFormat="1" ht="12.75" customHeight="1">
      <c r="A48" s="216"/>
      <c r="B48" s="966" t="str">
        <f>IF('Język - Language'!$B$30="Polski","Dopłata za TG dotyczący produktów alkoholowych (inne niż piwo)","Special target to advertise alcoholic products (other than beer)")</f>
        <v>Dopłata za TG dotyczący produktów alkoholowych (inne niż piwo)</v>
      </c>
      <c r="C48" s="968"/>
      <c r="D48" s="196" t="s">
        <v>48</v>
      </c>
      <c r="E48" s="218"/>
      <c r="F48" s="218"/>
      <c r="G48" s="218"/>
    </row>
    <row r="49" spans="1:27" s="104" customFormat="1" ht="12.75" customHeight="1">
      <c r="A49" s="216"/>
      <c r="B49" s="966" t="str">
        <f>IF('Język - Language'!$B$30="Polski","Podświetlenie / wyróżnienie","Backlighting / highlighting")</f>
        <v>Podświetlenie / wyróżnienie</v>
      </c>
      <c r="C49" s="968"/>
      <c r="D49" s="196" t="s">
        <v>47</v>
      </c>
      <c r="E49" s="218"/>
      <c r="F49" s="218"/>
      <c r="G49" s="218"/>
    </row>
    <row r="50" spans="1:27" s="104" customFormat="1" ht="12.75" customHeight="1">
      <c r="A50" s="216"/>
      <c r="B50" s="966" t="str">
        <f>IF('Język - Language'!$B$30="Polski","Mailing wysyłany na urządzenia mobilne","Mailing dispatched only to mobile devices")</f>
        <v>Mailing wysyłany na urządzenia mobilne</v>
      </c>
      <c r="C50" s="968"/>
      <c r="D50" s="196" t="s">
        <v>47</v>
      </c>
      <c r="E50" s="218"/>
      <c r="F50" s="218"/>
      <c r="G50" s="218"/>
    </row>
    <row r="51" spans="1:27" s="104" customFormat="1" ht="12.75" customHeight="1">
      <c r="A51" s="216"/>
      <c r="B51" s="966" t="str">
        <f>IF('Język - Language'!$B$30="Polski","Dopłata za dodatkowe 10kB","Additional 10kB of ad weight")</f>
        <v>Dopłata za dodatkowe 10kB</v>
      </c>
      <c r="C51" s="968"/>
      <c r="D51" s="196" t="s">
        <v>55</v>
      </c>
      <c r="E51" s="218"/>
      <c r="F51" s="218"/>
      <c r="G51" s="218"/>
    </row>
    <row r="52" spans="1:27" s="104" customFormat="1" ht="12.75" customHeight="1">
      <c r="A52" s="216"/>
      <c r="B52" s="966" t="str">
        <f>IF('Język - Language'!$B$30="Polski","Video Mailing do 1,5 MB","Video Mailing up to 1,5 MB")</f>
        <v>Video Mailing do 1,5 MB</v>
      </c>
      <c r="C52" s="968"/>
      <c r="D52" s="196" t="s">
        <v>48</v>
      </c>
      <c r="E52" s="218"/>
      <c r="F52" s="218"/>
      <c r="G52" s="218"/>
    </row>
    <row r="53" spans="1:27" s="104" customFormat="1" ht="12.75" customHeight="1">
      <c r="A53" s="216"/>
      <c r="B53" s="1265" t="str">
        <f>IF('Język - Language'!$B$30="Polski","Optymalizacja big data w mailingach","Big data optimization in Mailing")</f>
        <v>Optymalizacja big data w mailingach</v>
      </c>
      <c r="C53" s="1266"/>
      <c r="D53" s="199" t="s">
        <v>48</v>
      </c>
      <c r="E53" s="218"/>
      <c r="F53" s="218"/>
      <c r="G53" s="218"/>
    </row>
    <row r="54" spans="1:27" s="104" customFormat="1" ht="12.75" customHeight="1">
      <c r="A54" s="218"/>
      <c r="B54" s="187"/>
      <c r="C54" s="187"/>
      <c r="D54" s="200"/>
      <c r="E54" s="218"/>
      <c r="F54" s="218"/>
      <c r="G54" s="218"/>
    </row>
    <row r="55" spans="1:27" ht="25.5" customHeight="1">
      <c r="A55" s="216"/>
      <c r="B55" s="1254" t="str">
        <f>IF('Język - Language'!$B$30="Polski","KRYTERIA TARGETOWANIA KAMPANII DISPLAY ORAZ MAILINGU","TARGETING CRITERIA FOR DISPLAY AND MAILING CAMPAIGNS")</f>
        <v>KRYTERIA TARGETOWANIA KAMPANII DISPLAY ORAZ MAILINGU</v>
      </c>
      <c r="C55" s="1254"/>
      <c r="D55" s="1255"/>
      <c r="E55" s="9"/>
      <c r="F55" s="9"/>
      <c r="G55" s="9"/>
    </row>
    <row r="56" spans="1:27" ht="21">
      <c r="A56" s="216"/>
      <c r="B56" s="257" t="str">
        <f>IF('Język - Language'!$B$30="Polski","TARGETOWANIE DEMOGRAFICZNE","DEMOGRAPHIC TARGETING")</f>
        <v>TARGETOWANIE DEMOGRAFICZNE</v>
      </c>
      <c r="C56" s="1263" t="str">
        <f>IF('Język - Language'!$B$30="Polski","PARAMETRY TARGETOWANIA","TARGETING PARAMETERS")</f>
        <v>PARAMETRY TARGETOWANIA</v>
      </c>
      <c r="D56" s="1264"/>
      <c r="E56" s="10"/>
      <c r="F56" s="10"/>
      <c r="G56" s="10"/>
    </row>
    <row r="57" spans="1:27">
      <c r="A57" s="218"/>
      <c r="B57" s="201" t="str">
        <f>IF('Język - Language'!$B$30="Polski","PŁEĆ","GENDER")</f>
        <v>PŁEĆ</v>
      </c>
      <c r="C57" s="1250" t="str">
        <f>IF('Język - Language'!$B$30="Polski","kobieta, mężczyzna","woman, man")</f>
        <v>kobieta, mężczyzna</v>
      </c>
      <c r="D57" s="1251"/>
      <c r="E57" s="61"/>
      <c r="F57" s="61"/>
      <c r="G57" s="61"/>
    </row>
    <row r="58" spans="1:27">
      <c r="A58" s="218"/>
      <c r="B58" s="202" t="str">
        <f>IF('Język - Language'!$B$30="Polski","WIEK","AGE")</f>
        <v>WIEK</v>
      </c>
      <c r="C58" s="1272" t="str">
        <f>IF('Język - Language'!$B$30="Polski","dowolny przedział wiekowy","number of years")</f>
        <v>dowolny przedział wiekowy</v>
      </c>
      <c r="D58" s="1273"/>
      <c r="E58" s="61"/>
      <c r="F58" s="61"/>
      <c r="G58" s="61"/>
    </row>
    <row r="59" spans="1:27">
      <c r="A59" s="218"/>
      <c r="B59" s="202" t="str">
        <f>IF('Język - Language'!$B$30="Polski","WYKSZTAŁCENIE","EDUCATION")</f>
        <v>WYKSZTAŁCENIE</v>
      </c>
      <c r="C59" s="1252" t="str">
        <f>IF('Język - Language'!$B$30="Polski","bez wykształcenia, podstawowe, zawodowe, średnie, wyższe","no education, basic, professional, high school, BA / MA")</f>
        <v>bez wykształcenia, podstawowe, zawodowe, średnie, wyższe</v>
      </c>
      <c r="D59" s="1253"/>
      <c r="E59" s="35"/>
      <c r="F59" s="35"/>
      <c r="G59" s="35"/>
    </row>
    <row r="60" spans="1:27" ht="36" customHeight="1">
      <c r="A60" s="218"/>
      <c r="B60" s="202" t="str">
        <f>IF('Język - Language'!$B$30="Polski","ZAWÓD","PROFESSION")</f>
        <v>ZAWÓD</v>
      </c>
      <c r="C60" s="1252" t="str">
        <f>IF('Język - Language'!$B$30="Polski","wyższy urzędnik / kierownik, wolny zawód / specjalista, prywatny przedsiębiorca / biznesmen, rolnik, robotnik, pracownik usług / administracja / technik, gospodyni domowa, student, uczeń, emeryt / rencista, bezrobotny","senior clerk / manager, freelancer / specialist, entrepreneur / businessman, farmer, laborer, services / administration employee / technician, housewife, student, pupil, old age pensioner / sickness pensioner, unemployed")</f>
        <v>wyższy urzędnik / kierownik, wolny zawód / specjalista, prywatny przedsiębiorca / biznesmen, rolnik, robotnik, pracownik usług / administracja / technik, gospodyni domowa, student, uczeń, emeryt / rencista, bezrobotny</v>
      </c>
      <c r="D60" s="1253"/>
      <c r="E60" s="35"/>
      <c r="F60" s="35"/>
      <c r="G60" s="35"/>
    </row>
    <row r="61" spans="1:27" ht="38.25" customHeight="1">
      <c r="A61" s="218"/>
      <c r="B61" s="202" t="str">
        <f>IF('Język - Language'!$B$30="Polski","ZAINTERESOWANIA","INTERESTS")</f>
        <v>ZAINTERESOWANIA</v>
      </c>
      <c r="C61" s="1252" t="str">
        <f>IF('Język - Language'!$B$30="Polski","dom i rodzina, biznes, gry komputerowe, komputery i internet, kultura i sztuka, muzyka, film, książki, motoryzacja, nauka i technika, polityka, podróże, sport, turystyka, zdrowie","family and home, business, computer games, computers and the internet, arts, music, films, books, automotive industry, science and technology, politics, travel, sport, tourism, health")</f>
        <v>dom i rodzina, biznes, gry komputerowe, komputery i internet, kultura i sztuka, muzyka, film, książki, motoryzacja, nauka i technika, polityka, podróże, sport, turystyka, zdrowie</v>
      </c>
      <c r="D61" s="1253"/>
      <c r="E61" s="35"/>
      <c r="F61" s="35"/>
      <c r="G61" s="35"/>
    </row>
    <row r="62" spans="1:27" ht="57" customHeight="1">
      <c r="A62" s="218"/>
      <c r="B62" s="203" t="str">
        <f>IF('Język - Language'!$B$30="Polski","BRANŻA","OCCUPATIONAL AREA")</f>
        <v>BRANŻA</v>
      </c>
      <c r="C62" s="1214" t="str">
        <f>CONCATENATE($AA$62,$AA$63)</f>
        <v>budownictwo / architektura, dystrybucja / logistyka, edukacja / badania naukowe, finanse / bankowość / ubezpieczenia, gastronomia / hotelarstwo / turystyka / sport, handel hurtowy i detaliczny, instytucje rządowe i samorządowe, łączność / telekomunikacja, media / kultura i sztuka / rozrywka, medycyna / ochrona zdrowia, produkcja, rachunkowość / audyt, usługi dla firm / ludności, usługi internetowe/komputerowe, usługi prawne / konsulting</v>
      </c>
      <c r="D62" s="1215"/>
      <c r="E62" s="35"/>
      <c r="F62" s="35"/>
      <c r="G62" s="35"/>
      <c r="H62" s="218"/>
      <c r="I62" s="218"/>
      <c r="J62" s="218"/>
      <c r="K62" s="218"/>
      <c r="L62" s="218"/>
      <c r="M62" s="218"/>
      <c r="N62" s="218"/>
      <c r="O62" s="218"/>
      <c r="P62" s="218"/>
      <c r="Q62" s="218"/>
      <c r="R62" s="218"/>
      <c r="S62" s="218"/>
      <c r="T62" s="218"/>
      <c r="U62" s="218"/>
      <c r="V62" s="218"/>
      <c r="W62" s="218"/>
      <c r="X62" s="218"/>
      <c r="Y62" s="218"/>
      <c r="Z62" s="218"/>
      <c r="AA62" s="218" t="str">
        <f>IF('Język - Language'!$B$30="Polski","budownictwo / architektura, dystrybucja / logistyka, edukacja / badania naukowe, finanse / bankowość / ubezpieczenia, gastronomia / hotelarstwo / turystyka / sport, handel hurtowy i detaliczny, instytucje rządowe i samorządowe, łączność /","housing / architecture, distribution / logistics, education / scientific research, banking / finance / insurance, gastronomy / accommodation / tourism / sport, retail and wholesale trading, governmental institutions, connectivity /")</f>
        <v>budownictwo / architektura, dystrybucja / logistyka, edukacja / badania naukowe, finanse / bankowość / ubezpieczenia, gastronomia / hotelarstwo / turystyka / sport, handel hurtowy i detaliczny, instytucje rządowe i samorządowe, łączność /</v>
      </c>
    </row>
    <row r="63" spans="1:27" ht="21">
      <c r="A63" s="218"/>
      <c r="B63" s="257" t="str">
        <f>IF('Język - Language'!$B$30="Polski","TARGETOWANIE GEOGRAFICZNE","GEOTARGETING")</f>
        <v>TARGETOWANIE GEOGRAFICZNE</v>
      </c>
      <c r="C63" s="1263" t="str">
        <f>IF('Język - Language'!$B$30="Polski","PARAMETRY TARGETOWANIA","TARGETING PARAMETERS")</f>
        <v>PARAMETRY TARGETOWANIA</v>
      </c>
      <c r="D63" s="1264"/>
      <c r="E63" s="35"/>
      <c r="F63" s="35"/>
      <c r="G63" s="35"/>
      <c r="H63" s="218"/>
      <c r="I63" s="218"/>
      <c r="J63" s="218"/>
      <c r="K63" s="218"/>
      <c r="L63" s="218"/>
      <c r="M63" s="218"/>
      <c r="N63" s="218"/>
      <c r="O63" s="218"/>
      <c r="P63" s="218"/>
      <c r="Q63" s="218"/>
      <c r="R63" s="218"/>
      <c r="S63" s="218"/>
      <c r="T63" s="218"/>
      <c r="U63" s="218"/>
      <c r="V63" s="218"/>
      <c r="W63" s="218"/>
      <c r="X63" s="218"/>
      <c r="Y63" s="218"/>
      <c r="Z63" s="218"/>
      <c r="AA63" s="218" t="str">
        <f>IF('Język - Language'!$B$30="Polski"," telekomunikacja, media / kultura i sztuka / rozrywka, medycyna / ochrona zdrowia, produkcja, rachunkowość / audyt, usługi dla firm / ludności, usługi internetowe/komputerowe, usługi prawne / konsulting"," telecommunication, media / arts and culture / entertainment, medicine / health security, production, accounting / auditing, services B2B / B2C, computer / internet services, legal services / consulting)")</f>
        <v xml:space="preserve"> telekomunikacja, media / kultura i sztuka / rozrywka, medycyna / ochrona zdrowia, produkcja, rachunkowość / audyt, usługi dla firm / ludności, usługi internetowe/komputerowe, usługi prawne / konsulting</v>
      </c>
    </row>
    <row r="64" spans="1:27">
      <c r="A64" s="216"/>
      <c r="B64" s="201" t="str">
        <f>IF('Język - Language'!$B$30="Polski","WOJEWÓDZTWO","PROVINCE")</f>
        <v>WOJEWÓDZTWO</v>
      </c>
      <c r="C64" s="1274" t="str">
        <f>IF('Język - Language'!$B$30="Polski","wybrane województwo","selected province")</f>
        <v>wybrane województwo</v>
      </c>
      <c r="D64" s="1275"/>
      <c r="E64" s="9"/>
      <c r="F64" s="9"/>
      <c r="G64" s="9"/>
      <c r="H64" s="218"/>
      <c r="I64" s="218"/>
      <c r="J64" s="218"/>
      <c r="K64" s="218"/>
      <c r="L64" s="218"/>
      <c r="M64" s="218"/>
      <c r="N64" s="218"/>
      <c r="O64" s="218"/>
      <c r="P64" s="218"/>
      <c r="Q64" s="218"/>
      <c r="R64" s="218"/>
      <c r="S64" s="218"/>
      <c r="T64" s="218"/>
      <c r="U64" s="218"/>
      <c r="V64" s="218"/>
      <c r="W64" s="218"/>
      <c r="X64" s="218"/>
      <c r="Y64" s="218"/>
      <c r="Z64" s="218"/>
      <c r="AA64" s="218"/>
    </row>
    <row r="65" spans="1:27">
      <c r="A65" s="218"/>
      <c r="B65" s="202" t="str">
        <f>IF('Język - Language'!$B$30="Polski","MIASTO","CITY")</f>
        <v>MIASTO</v>
      </c>
      <c r="C65" s="1270" t="str">
        <f>IF('Język - Language'!$B$30="Polski","wybrane miasto","selected city")</f>
        <v>wybrane miasto</v>
      </c>
      <c r="D65" s="1271"/>
      <c r="E65" s="62"/>
      <c r="F65" s="62"/>
      <c r="G65" s="62"/>
      <c r="H65" s="218"/>
      <c r="I65" s="218"/>
      <c r="J65" s="218"/>
      <c r="K65" s="218"/>
      <c r="L65" s="218"/>
      <c r="M65" s="218"/>
      <c r="N65" s="218"/>
      <c r="O65" s="218"/>
      <c r="P65" s="218"/>
      <c r="Q65" s="218"/>
      <c r="R65" s="218"/>
      <c r="S65" s="218"/>
      <c r="T65" s="218"/>
      <c r="U65" s="218"/>
      <c r="V65" s="218"/>
      <c r="W65" s="218"/>
      <c r="X65" s="218"/>
      <c r="Y65" s="218"/>
      <c r="Z65" s="218"/>
      <c r="AA65" s="218"/>
    </row>
    <row r="66" spans="1:27">
      <c r="A66" s="218"/>
      <c r="B66" s="231"/>
      <c r="C66" s="231"/>
      <c r="D66" s="231"/>
      <c r="E66" s="62"/>
      <c r="F66" s="62"/>
      <c r="G66" s="62"/>
      <c r="H66" s="218"/>
      <c r="I66" s="218"/>
      <c r="J66" s="218"/>
      <c r="K66" s="218"/>
      <c r="L66" s="218"/>
      <c r="M66" s="218"/>
      <c r="N66" s="218"/>
      <c r="O66" s="218"/>
      <c r="P66" s="218"/>
      <c r="Q66" s="218"/>
      <c r="R66" s="218"/>
      <c r="S66" s="218"/>
      <c r="T66" s="218"/>
      <c r="U66" s="218"/>
      <c r="V66" s="218"/>
      <c r="W66" s="218"/>
      <c r="X66" s="218"/>
      <c r="Y66" s="218"/>
      <c r="Z66" s="218"/>
      <c r="AA66" s="218"/>
    </row>
    <row r="67" spans="1:27">
      <c r="A67" s="218"/>
      <c r="B67" s="231"/>
      <c r="C67" s="231"/>
      <c r="D67" s="231"/>
      <c r="E67" s="218"/>
      <c r="F67" s="218"/>
      <c r="G67" s="218"/>
      <c r="H67" s="218"/>
      <c r="I67" s="218"/>
      <c r="J67" s="218"/>
      <c r="K67" s="218"/>
      <c r="L67" s="218"/>
      <c r="M67" s="218"/>
      <c r="N67" s="218"/>
      <c r="O67" s="218"/>
      <c r="P67" s="218"/>
      <c r="Q67" s="218"/>
      <c r="R67" s="218"/>
      <c r="S67" s="218"/>
      <c r="T67" s="218"/>
      <c r="U67" s="218"/>
      <c r="V67" s="218"/>
      <c r="W67" s="218"/>
      <c r="X67" s="218"/>
      <c r="Y67" s="218"/>
      <c r="Z67" s="218"/>
      <c r="AA67" s="218"/>
    </row>
    <row r="68" spans="1:27" s="218" customFormat="1">
      <c r="B68" s="1254" t="str">
        <f>IF('Język - Language'!$B$30="Polski","KRYTERIA TARGETOWANIA KAMPANII DATAPOWER","DATAPOWER TARGETING CRITERIA FOR DISPLAY AND MAILING CAMPAIGNS")</f>
        <v>KRYTERIA TARGETOWANIA KAMPANII DATAPOWER</v>
      </c>
      <c r="C68" s="1254"/>
      <c r="D68" s="1255"/>
    </row>
    <row r="69" spans="1:27" s="218" customFormat="1" ht="25.5" customHeight="1">
      <c r="A69" s="216"/>
      <c r="B69" s="435" t="str">
        <f>IF('Język - Language'!$B$30="Polski","KATEGORIA","CATEGORY")</f>
        <v>KATEGORIA</v>
      </c>
      <c r="C69" s="435" t="str">
        <f>IF('Język - Language'!$B$30="Polski","SUBKATEGORIE","SUBCATEGORIES")</f>
        <v>SUBKATEGORIE</v>
      </c>
      <c r="D69" s="436" t="str">
        <f>IF('Język - Language'!$B$30="Polski","DOPŁATA","EXTRA CHARGE")</f>
        <v>DOPŁATA</v>
      </c>
      <c r="E69" s="9"/>
      <c r="F69" s="9"/>
      <c r="G69" s="9"/>
    </row>
    <row r="70" spans="1:27" s="218" customFormat="1" ht="21">
      <c r="A70" s="216"/>
      <c r="B70" s="201" t="str">
        <f>IF('Język - Language'!$B$30="Polski","WPM ZASIĘG","WPM REACH PACKAGE")</f>
        <v>WPM ZASIĘG</v>
      </c>
      <c r="C70" s="443" t="s">
        <v>151</v>
      </c>
      <c r="D70" s="1267" t="s">
        <v>48</v>
      </c>
      <c r="E70" s="10"/>
      <c r="F70" s="10"/>
      <c r="G70" s="10"/>
    </row>
    <row r="71" spans="1:27" s="218" customFormat="1" ht="30" customHeight="1">
      <c r="B71" s="201" t="str">
        <f>IF('Język - Language'!$B$30="Polski","PREMIUM HP","PREMIUM HOME PAGE")</f>
        <v>PREMIUM HP</v>
      </c>
      <c r="C71" s="442" t="s">
        <v>150</v>
      </c>
      <c r="D71" s="1268"/>
      <c r="E71" s="61"/>
      <c r="F71" s="61"/>
      <c r="G71" s="61"/>
    </row>
    <row r="72" spans="1:27" s="218" customFormat="1" ht="25.5" customHeight="1">
      <c r="B72" s="201" t="str">
        <f>IF('Język - Language'!$B$30="Polski","BIZNES","BUSINESS")</f>
        <v>BIZNES</v>
      </c>
      <c r="C72" s="437" t="s">
        <v>140</v>
      </c>
      <c r="D72" s="1268"/>
      <c r="E72" s="61"/>
      <c r="F72" s="61"/>
      <c r="G72" s="61"/>
    </row>
    <row r="73" spans="1:27" s="218" customFormat="1" ht="25.5" customHeight="1">
      <c r="B73" s="202" t="str">
        <f>IF('Język - Language'!$B$30="Polski","INFO I SPORT","NEWS &amp; SPORT")</f>
        <v>INFO I SPORT</v>
      </c>
      <c r="C73" s="438" t="s">
        <v>141</v>
      </c>
      <c r="D73" s="1268"/>
      <c r="E73" s="61"/>
      <c r="F73" s="61"/>
      <c r="G73" s="61"/>
    </row>
    <row r="74" spans="1:27" s="218" customFormat="1" ht="25.5" customHeight="1">
      <c r="B74" s="202" t="str">
        <f>IF('Język - Language'!$B$30="Polski","MOTORYZACJA","AUTOMOTIVE")</f>
        <v>MOTORYZACJA</v>
      </c>
      <c r="C74" s="439" t="s">
        <v>142</v>
      </c>
      <c r="D74" s="1268"/>
      <c r="E74" s="61"/>
      <c r="F74" s="61"/>
      <c r="G74" s="61"/>
    </row>
    <row r="75" spans="1:27" s="218" customFormat="1" ht="25.5" customHeight="1">
      <c r="B75" s="202" t="str">
        <f>IF('Język - Language'!$B$30="Polski","ROZRYWKA","ENTERTAINMENT")</f>
        <v>ROZRYWKA</v>
      </c>
      <c r="C75" s="439" t="s">
        <v>143</v>
      </c>
      <c r="D75" s="1268"/>
      <c r="E75" s="35"/>
      <c r="F75" s="35"/>
      <c r="G75" s="35"/>
    </row>
    <row r="76" spans="1:27" s="218" customFormat="1" ht="25.5" customHeight="1">
      <c r="B76" s="202" t="str">
        <f>IF('Język - Language'!$B$30="Polski","STYL ŻYCIA","LIFESTYLE")</f>
        <v>STYL ŻYCIA</v>
      </c>
      <c r="C76" s="439" t="s">
        <v>144</v>
      </c>
      <c r="D76" s="1268"/>
      <c r="E76" s="35"/>
      <c r="F76" s="35"/>
      <c r="G76" s="35"/>
    </row>
    <row r="77" spans="1:27" s="218" customFormat="1" ht="25.5" customHeight="1">
      <c r="B77" s="203" t="str">
        <f>IF('Język - Language'!$B$30="Polski","TECHNOLOGIA","TECHNOLOGY")</f>
        <v>TECHNOLOGIA</v>
      </c>
      <c r="C77" s="440" t="s">
        <v>145</v>
      </c>
      <c r="D77" s="1268"/>
      <c r="E77" s="35"/>
      <c r="F77" s="35"/>
      <c r="G77" s="35"/>
    </row>
    <row r="78" spans="1:27" s="218" customFormat="1" ht="25.5" customHeight="1">
      <c r="B78" s="203" t="str">
        <f>IF('Język - Language'!$B$30="Polski","ZDROWIE I PARENTING","HEALTH &amp; PARENTING")</f>
        <v>ZDROWIE I PARENTING</v>
      </c>
      <c r="C78" s="439" t="s">
        <v>146</v>
      </c>
      <c r="D78" s="1268"/>
      <c r="E78" s="35"/>
      <c r="F78" s="35"/>
      <c r="G78" s="35"/>
      <c r="AA78" s="218" t="str">
        <f>IF('Język - Language'!$B$30="Polski","budownictwo / architektura, dystrybucja / logistyka, edukacja / badania naukowe, finanse / bankowość / ubezpieczenia, gastronomia / hotelarstwo / turystyka / sport, handel hurtowy i detaliczny, instytucje rządowe i samorządowe, łączność /","housing / architecture, distribution / logistics, education / scientific research, banking / finance / insurance, gastronomy / accommodation / tourism / sport, retail and wholesale trading, governmental institutions, connectivity /")</f>
        <v>budownictwo / architektura, dystrybucja / logistyka, edukacja / badania naukowe, finanse / bankowość / ubezpieczenia, gastronomia / hotelarstwo / turystyka / sport, handel hurtowy i detaliczny, instytucje rządowe i samorządowe, łączność /</v>
      </c>
    </row>
    <row r="79" spans="1:27" s="218" customFormat="1" ht="25.5" customHeight="1">
      <c r="B79" s="203" t="str">
        <f>IF('Język - Language'!$B$30="Polski","PAKIET GEO","GEOTARGETING PACKAGE")</f>
        <v>PAKIET GEO</v>
      </c>
      <c r="C79" s="439" t="s">
        <v>147</v>
      </c>
      <c r="D79" s="1269"/>
      <c r="E79" s="35"/>
      <c r="F79" s="35"/>
      <c r="G79" s="35"/>
      <c r="AA79" s="218" t="str">
        <f>IF('Język - Language'!$B$30="Polski"," telekomunikacja, media / kultura i sztuka / rozrywka, medycyna / ochrona zdrowia, produkcja, rachunkowość / audyt, usługi dla firm / ludności, usługi internetowe/komputerowe, usługi prawne / konsulting"," telecommunication, media / arts and culture / entertainment, medicine / health security, production, accounting / auditing, services B2B / B2C, computer / internet services, legal services / consulting)")</f>
        <v xml:space="preserve"> telekomunikacja, media / kultura i sztuka / rozrywka, medycyna / ochrona zdrowia, produkcja, rachunkowość / audyt, usługi dla firm / ludności, usługi internetowe/komputerowe, usługi prawne / konsulting</v>
      </c>
    </row>
    <row r="80" spans="1:27" s="218" customFormat="1" ht="25.5" customHeight="1">
      <c r="B80" s="203" t="str">
        <f>IF('Język - Language'!$B$30="Polski","PAKIET PREMIUM","PREMIUM PACKAGE")</f>
        <v>PAKIET PREMIUM</v>
      </c>
      <c r="C80" s="439" t="s">
        <v>148</v>
      </c>
      <c r="D80" s="441" t="s">
        <v>47</v>
      </c>
      <c r="E80" s="35"/>
      <c r="F80" s="35"/>
      <c r="G80" s="35"/>
    </row>
    <row r="81" spans="2:27" s="218" customFormat="1" ht="52.5" customHeight="1">
      <c r="B81" s="203" t="str">
        <f>IF('Język - Language'!$B$30="Polski","PAKIET PLUS","PLUS PACKAGE")</f>
        <v>PAKIET PLUS</v>
      </c>
      <c r="C81" s="439" t="s">
        <v>149</v>
      </c>
      <c r="D81" s="441" t="s">
        <v>48</v>
      </c>
      <c r="E81" s="35"/>
      <c r="F81" s="35"/>
      <c r="G81" s="35"/>
      <c r="AA81" s="218" t="str">
        <f>IF('Język - Language'!$B$30="Polski"," telekomunikacja, media / kultura i sztuka / rozrywka, medycyna / ochrona zdrowia, produkcja, rachunkowość / audyt, usługi dla firm / ludności, usługi internetowe/komputerowe, usługi prawne / konsulting"," telecommunication, media / arts and culture / entertainment, medicine / health security, production, accounting / auditing, services B2B / B2C, computer / internet services, legal services / consulting)")</f>
        <v xml:space="preserve"> telekomunikacja, media / kultura i sztuka / rozrywka, medycyna / ochrona zdrowia, produkcja, rachunkowość / audyt, usługi dla firm / ludności, usługi internetowe/komputerowe, usługi prawne / konsulting</v>
      </c>
    </row>
    <row r="82" spans="2:27" s="218" customFormat="1" ht="25.5" customHeight="1">
      <c r="B82" s="231"/>
      <c r="C82" s="231"/>
      <c r="D82" s="231"/>
      <c r="E82" s="35"/>
      <c r="F82" s="35"/>
      <c r="G82" s="35"/>
    </row>
    <row r="83" spans="2:27" s="218" customFormat="1">
      <c r="B83" s="1262"/>
      <c r="C83" s="1262"/>
      <c r="D83" s="1262"/>
    </row>
    <row r="84" spans="2:27" s="218" customFormat="1">
      <c r="B84" s="1261" t="str">
        <f>IF('Język - Language'!$B$30="Polski","1. Kliknięcie w wybraną formę reklamową (poza watermarkiem) powoduje automatyczne przejście do reklamowanego serwisu.","1. Clicking in a selected advertising form (except for a watermark) triggers automatic passing to the advertising site.")</f>
        <v>1. Kliknięcie w wybraną formę reklamową (poza watermarkiem) powoduje automatyczne przejście do reklamowanego serwisu.</v>
      </c>
      <c r="C84" s="1261"/>
      <c r="D84" s="1261"/>
    </row>
    <row r="85" spans="2:27" s="218" customFormat="1" ht="12.75" customHeight="1">
      <c r="B85" s="1261" t="str">
        <f>IF('Język - Language'!$B$30="Polski","2. Liczba kontaktów użytkownika z reklamą oraz liczba kliknięć w wybraną formę reklamową jest rejestrowana w statystykach. Statystyki dostępne są “on line” przez 24 godziny na dobę.","2. The number of times a user is exposed to an advertisement and the number of clicks in a selected advertising form is registered in the records. The statistics are available “on line” 24 hours a day.")</f>
        <v>2. Liczba kontaktów użytkownika z reklamą oraz liczba kliknięć w wybraną formę reklamową jest rejestrowana w statystykach. Statystyki dostępne są “on line” przez 24 godziny na dobę.</v>
      </c>
      <c r="C85" s="1261"/>
      <c r="D85" s="1261"/>
    </row>
    <row r="86" spans="2:27" s="218" customFormat="1" ht="12.75" customHeight="1">
      <c r="B86" s="1261" t="str">
        <f>IF('Język - Language'!$B$30="Polski","3. Istnieje możliwość, że niektóre serwisy Grupy WP przestaną emitować wybrane formy reklamowe z powodów technicznych. Prosimy o każdorazowe potwierdzenie możliwości emisji reklam w poszczególnych serwisach. ","3. It might happen that certain sites will cease displaying some advertising forms due to technical reasons. This is why the possibility of displaying advertisements in particular sites should be confirmed each and every time.")</f>
        <v xml:space="preserve">3. Istnieje możliwość, że niektóre serwisy Grupy WP przestaną emitować wybrane formy reklamowe z powodów technicznych. Prosimy o każdorazowe potwierdzenie możliwości emisji reklam w poszczególnych serwisach. </v>
      </c>
      <c r="C86" s="1261"/>
      <c r="D86" s="1261"/>
    </row>
    <row r="87" spans="2:27" s="218" customFormat="1" ht="25.5" customHeight="1">
      <c r="B87" s="1261" t="str">
        <f>IF('Język - Language'!$B$30="Polski","4. Nośniki muszą spełniać warunki techniczne przedstawione w specyfikacji technicznej, pod rygorem nie przyjęcia materiału do emisji","4. The ad forms must comply with the technical conditions set forth in technical specifications; otherwise the material will not be accepted for displaying.")</f>
        <v>4. Nośniki muszą spełniać warunki techniczne przedstawione w specyfikacji technicznej, pod rygorem nie przyjęcia materiału do emisji</v>
      </c>
      <c r="C87" s="1261"/>
      <c r="D87" s="1261"/>
    </row>
    <row r="88" spans="2:27" s="218" customFormat="1" ht="12.75" customHeight="1">
      <c r="B88" s="1261" t="str">
        <f>IF('Język - Language'!$B$30="Polski","5. Dopłata za każde wybrane kryterium targetowania demograficznego to 25% Wyjątek stanowi geotargetowanie – dopłata +50 %  W przypadku wybrania kilku kryteriów, procenty sumują się.","5. Additional payments for each selected demographic targeting criterion are 25%, with the exception of geotargeting (in this particular case the additional payment is +50 %). If a few criteria are selected, the percentage is summed up.")</f>
        <v>5. Dopłata za każde wybrane kryterium targetowania demograficznego to 25% Wyjątek stanowi geotargetowanie – dopłata +50 %  W przypadku wybrania kilku kryteriów, procenty sumują się.</v>
      </c>
      <c r="C88" s="1261"/>
      <c r="D88" s="1261"/>
    </row>
    <row r="89" spans="2:27" s="218" customFormat="1" ht="12.75" customHeight="1">
      <c r="B89" s="58"/>
      <c r="C89" s="58"/>
      <c r="D89" s="58"/>
    </row>
  </sheetData>
  <mergeCells count="77">
    <mergeCell ref="I12:K12"/>
    <mergeCell ref="I13:K13"/>
    <mergeCell ref="I22:K22"/>
    <mergeCell ref="B13:C13"/>
    <mergeCell ref="I23:K23"/>
    <mergeCell ref="I19:K19"/>
    <mergeCell ref="B19:C19"/>
    <mergeCell ref="I15:K15"/>
    <mergeCell ref="B18:C18"/>
    <mergeCell ref="I14:K14"/>
    <mergeCell ref="B21:C21"/>
    <mergeCell ref="B15:C15"/>
    <mergeCell ref="B17:C17"/>
    <mergeCell ref="B14:C14"/>
    <mergeCell ref="I17:K17"/>
    <mergeCell ref="I20:K20"/>
    <mergeCell ref="B88:D88"/>
    <mergeCell ref="B83:D83"/>
    <mergeCell ref="B84:D84"/>
    <mergeCell ref="B85:D85"/>
    <mergeCell ref="B51:C51"/>
    <mergeCell ref="C63:D63"/>
    <mergeCell ref="C60:D60"/>
    <mergeCell ref="B53:C53"/>
    <mergeCell ref="B87:D87"/>
    <mergeCell ref="B68:D68"/>
    <mergeCell ref="D70:D79"/>
    <mergeCell ref="B86:D86"/>
    <mergeCell ref="C65:D65"/>
    <mergeCell ref="C56:D56"/>
    <mergeCell ref="C58:D58"/>
    <mergeCell ref="C64:D64"/>
    <mergeCell ref="B48:C48"/>
    <mergeCell ref="B49:C49"/>
    <mergeCell ref="B45:C45"/>
    <mergeCell ref="B46:C46"/>
    <mergeCell ref="B50:C50"/>
    <mergeCell ref="I21:K21"/>
    <mergeCell ref="B42:C42"/>
    <mergeCell ref="B43:C43"/>
    <mergeCell ref="B29:C29"/>
    <mergeCell ref="B26:C26"/>
    <mergeCell ref="B32:C32"/>
    <mergeCell ref="B27:C27"/>
    <mergeCell ref="B36:C36"/>
    <mergeCell ref="B44:C44"/>
    <mergeCell ref="B47:C47"/>
    <mergeCell ref="B40:C40"/>
    <mergeCell ref="B37:C37"/>
    <mergeCell ref="B31:C31"/>
    <mergeCell ref="C1:D3"/>
    <mergeCell ref="B10:C10"/>
    <mergeCell ref="B7:C7"/>
    <mergeCell ref="B11:C11"/>
    <mergeCell ref="B12:C12"/>
    <mergeCell ref="B8:C8"/>
    <mergeCell ref="B9:C9"/>
    <mergeCell ref="B16:C16"/>
    <mergeCell ref="B22:C22"/>
    <mergeCell ref="B23:C23"/>
    <mergeCell ref="B41:C41"/>
    <mergeCell ref="B24:C24"/>
    <mergeCell ref="B35:C35"/>
    <mergeCell ref="B33:C33"/>
    <mergeCell ref="B30:C30"/>
    <mergeCell ref="B39:C39"/>
    <mergeCell ref="B34:C34"/>
    <mergeCell ref="B38:C38"/>
    <mergeCell ref="B28:C28"/>
    <mergeCell ref="B25:C25"/>
    <mergeCell ref="B20:C20"/>
    <mergeCell ref="C62:D62"/>
    <mergeCell ref="B52:C52"/>
    <mergeCell ref="C57:D57"/>
    <mergeCell ref="C59:D59"/>
    <mergeCell ref="B55:D55"/>
    <mergeCell ref="C61:D61"/>
  </mergeCells>
  <pageMargins left="0.7" right="0.7" top="0.75" bottom="0.75" header="0.3" footer="0.3"/>
  <pageSetup paperSize="256" scale="80" fitToHeight="0" orientation="portrait" r:id="rId1"/>
  <ignoredErrors>
    <ignoredError sqref="D43:D50 D52:D53 D31:D32 D38:D41 D70 D80:D81 D8:D27 D36" numberStoredAsText="1"/>
    <ignoredError sqref="D35 B79:B80"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11</vt:i4>
      </vt:variant>
    </vt:vector>
  </HeadingPairs>
  <TitlesOfParts>
    <vt:vector size="11" baseType="lpstr">
      <vt:lpstr>Język - Language</vt:lpstr>
      <vt:lpstr>Multiscreen</vt:lpstr>
      <vt:lpstr>Mobile Flat Fee</vt:lpstr>
      <vt:lpstr>Desktop Flat Fee</vt:lpstr>
      <vt:lpstr>Serwisy &amp; Pakiety</vt:lpstr>
      <vt:lpstr>Wideo &amp; Audio</vt:lpstr>
      <vt:lpstr>Poczta - Email service</vt:lpstr>
      <vt:lpstr>Content Marketing</vt:lpstr>
      <vt:lpstr>Dopłaty - Extra charges</vt:lpstr>
      <vt:lpstr>Instreamly</vt:lpstr>
      <vt:lpstr>Docs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2022-05-25T09:25:00Z</dcterms:modified>
</cp:coreProperties>
</file>