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filterPrivacy="1" codeName="Ten_skoroszyt"/>
  <xr:revisionPtr revIDLastSave="0" documentId="13_ncr:1_{F325E5AD-F65B-4F8E-9CBA-265885067F57}" xr6:coauthVersionLast="45" xr6:coauthVersionMax="45" xr10:uidLastSave="{00000000-0000-0000-0000-000000000000}"/>
  <bookViews>
    <workbookView xWindow="1620" yWindow="105" windowWidth="26460" windowHeight="17175" tabRatio="851" activeTab="1" xr2:uid="{00000000-000D-0000-FFFF-FFFF00000000}"/>
  </bookViews>
  <sheets>
    <sheet name="Język - Language" sheetId="15" r:id="rId1"/>
    <sheet name="Multiscreen" sheetId="8" r:id="rId2"/>
    <sheet name="Mobile" sheetId="16" r:id="rId3"/>
    <sheet name="Desktop Flat Fee" sheetId="10" r:id="rId4"/>
    <sheet name="Serwisy &amp; Pakiety" sheetId="12" r:id="rId5"/>
    <sheet name="Wideo &amp; Audio" sheetId="4" r:id="rId6"/>
    <sheet name="Poczta - Email service" sheetId="11" r:id="rId7"/>
    <sheet name="Content Marketing" sheetId="17" r:id="rId8"/>
    <sheet name="Dopłaty - Extra charges" sheetId="2" r:id="rId9"/>
    <sheet name="Docs" sheetId="13" r:id="rId10"/>
  </sheets>
  <calcPr calcId="181029"/>
</workbook>
</file>

<file path=xl/calcChain.xml><?xml version="1.0" encoding="utf-8"?>
<calcChain xmlns="http://schemas.openxmlformats.org/spreadsheetml/2006/main">
  <c r="AA64" i="2" l="1"/>
  <c r="C63" i="10" l="1"/>
  <c r="C62" i="10"/>
  <c r="C61" i="10"/>
  <c r="C60" i="10"/>
  <c r="C59" i="10"/>
  <c r="C58" i="10"/>
  <c r="F14" i="8" l="1"/>
  <c r="F13" i="8"/>
  <c r="F12" i="8" l="1"/>
  <c r="R43" i="12" l="1"/>
  <c r="P43" i="12"/>
  <c r="N43" i="12"/>
  <c r="N82" i="12"/>
  <c r="D84" i="12"/>
  <c r="J43" i="12"/>
  <c r="J82" i="12"/>
  <c r="F43" i="12"/>
  <c r="H43" i="12"/>
  <c r="H82" i="12"/>
  <c r="F82" i="12"/>
  <c r="D45" i="12"/>
  <c r="R44" i="12"/>
  <c r="P44" i="12"/>
  <c r="N44" i="12"/>
  <c r="J44" i="12"/>
  <c r="H44" i="12"/>
  <c r="F44" i="12"/>
  <c r="B8" i="2" l="1"/>
  <c r="B9" i="2"/>
  <c r="R65" i="12" l="1"/>
  <c r="P65" i="12"/>
  <c r="N65" i="12"/>
  <c r="J65" i="12"/>
  <c r="H65" i="12"/>
  <c r="F65" i="12"/>
  <c r="R130" i="12"/>
  <c r="P130" i="12"/>
  <c r="D69" i="12"/>
  <c r="D131" i="12"/>
  <c r="N130" i="12"/>
  <c r="J130" i="12"/>
  <c r="H130" i="12"/>
  <c r="F130" i="12"/>
  <c r="D92" i="12"/>
  <c r="R91" i="12"/>
  <c r="P91" i="12"/>
  <c r="N91" i="12"/>
  <c r="J91" i="12"/>
  <c r="H91" i="12"/>
  <c r="F91" i="12"/>
  <c r="C135" i="12"/>
  <c r="L35" i="12"/>
  <c r="I100" i="8"/>
  <c r="F95" i="8"/>
  <c r="F93" i="8"/>
  <c r="B88" i="8"/>
  <c r="F65" i="8"/>
  <c r="F64" i="8"/>
  <c r="J112" i="12" l="1"/>
  <c r="H112" i="12"/>
  <c r="F112" i="12"/>
  <c r="D115" i="12"/>
  <c r="J77" i="12"/>
  <c r="H77" i="12"/>
  <c r="F77" i="12"/>
  <c r="H7" i="12" l="1"/>
  <c r="C30" i="8" l="1"/>
  <c r="B111" i="8" l="1"/>
  <c r="C27" i="12"/>
  <c r="E7" i="12"/>
  <c r="C12" i="11" l="1"/>
  <c r="I99" i="8"/>
  <c r="B112" i="8"/>
  <c r="O128" i="12" l="1"/>
  <c r="M128" i="12"/>
  <c r="L128" i="12"/>
  <c r="K128" i="12"/>
  <c r="I128" i="12"/>
  <c r="G128" i="12"/>
  <c r="R55" i="12"/>
  <c r="R128" i="12" s="1"/>
  <c r="P55" i="12"/>
  <c r="P128" i="12" s="1"/>
  <c r="N55" i="12"/>
  <c r="N128" i="12" s="1"/>
  <c r="J55" i="12"/>
  <c r="J128" i="12" s="1"/>
  <c r="H55" i="12"/>
  <c r="H128" i="12" s="1"/>
  <c r="D56" i="12"/>
  <c r="F55" i="12"/>
  <c r="F128" i="12" s="1"/>
  <c r="R83" i="12" l="1"/>
  <c r="R80" i="12"/>
  <c r="P83" i="12"/>
  <c r="P80" i="12"/>
  <c r="N83" i="12"/>
  <c r="N80" i="12"/>
  <c r="J83" i="12"/>
  <c r="J80" i="12"/>
  <c r="H83" i="12"/>
  <c r="H80" i="12"/>
  <c r="F83" i="12"/>
  <c r="F80" i="12"/>
  <c r="R50" i="12"/>
  <c r="P50" i="12"/>
  <c r="N50" i="12"/>
  <c r="J50" i="12"/>
  <c r="D52" i="12"/>
  <c r="H50" i="12"/>
  <c r="F50" i="12"/>
  <c r="B26" i="2" l="1"/>
  <c r="R118" i="12" l="1"/>
  <c r="R106" i="12"/>
  <c r="P118" i="12"/>
  <c r="P106" i="12"/>
  <c r="N118" i="12"/>
  <c r="N106" i="12"/>
  <c r="J118" i="12"/>
  <c r="J106" i="12"/>
  <c r="H118" i="12"/>
  <c r="H106" i="12"/>
  <c r="F118" i="12"/>
  <c r="F106" i="12"/>
  <c r="R71" i="12"/>
  <c r="P71" i="12"/>
  <c r="N71" i="12"/>
  <c r="J71" i="12"/>
  <c r="H71" i="12"/>
  <c r="F71" i="12"/>
  <c r="R126" i="12" l="1"/>
  <c r="P126" i="12"/>
  <c r="R129" i="12"/>
  <c r="R127" i="12"/>
  <c r="R125" i="12"/>
  <c r="R124" i="12"/>
  <c r="R123" i="12"/>
  <c r="R122" i="12"/>
  <c r="R121" i="12"/>
  <c r="R120" i="12"/>
  <c r="R119" i="12"/>
  <c r="R117" i="12"/>
  <c r="R116" i="12"/>
  <c r="P129" i="12"/>
  <c r="P127" i="12"/>
  <c r="P125" i="12"/>
  <c r="P124" i="12"/>
  <c r="P123" i="12"/>
  <c r="P122" i="12"/>
  <c r="P121" i="12"/>
  <c r="P120" i="12"/>
  <c r="P119" i="12"/>
  <c r="P117" i="12"/>
  <c r="P116" i="12"/>
  <c r="R114" i="12"/>
  <c r="R113" i="12"/>
  <c r="R111" i="12"/>
  <c r="R110" i="12"/>
  <c r="R109" i="12"/>
  <c r="R108" i="12"/>
  <c r="R107" i="12"/>
  <c r="R105" i="12"/>
  <c r="R104" i="12"/>
  <c r="R103" i="12"/>
  <c r="P114" i="12"/>
  <c r="P113" i="12"/>
  <c r="P111" i="12"/>
  <c r="P110" i="12"/>
  <c r="P109" i="12"/>
  <c r="P108" i="12"/>
  <c r="P107" i="12"/>
  <c r="P105" i="12"/>
  <c r="P104" i="12"/>
  <c r="P103" i="12"/>
  <c r="R97" i="12"/>
  <c r="R96" i="12"/>
  <c r="R95" i="12"/>
  <c r="R94" i="12"/>
  <c r="R93" i="12"/>
  <c r="P97" i="12"/>
  <c r="P96" i="12"/>
  <c r="P95" i="12"/>
  <c r="P94" i="12"/>
  <c r="P93" i="12"/>
  <c r="R90" i="12"/>
  <c r="R89" i="12"/>
  <c r="R88" i="12"/>
  <c r="R87" i="12"/>
  <c r="R86" i="12"/>
  <c r="R85" i="12"/>
  <c r="P90" i="12"/>
  <c r="P89" i="12"/>
  <c r="P88" i="12"/>
  <c r="P87" i="12"/>
  <c r="P86" i="12"/>
  <c r="P85" i="12"/>
  <c r="R81" i="12"/>
  <c r="R79" i="12"/>
  <c r="R78" i="12"/>
  <c r="R76" i="12"/>
  <c r="R75" i="12"/>
  <c r="R74" i="12"/>
  <c r="R73" i="12"/>
  <c r="R72" i="12"/>
  <c r="R70" i="12"/>
  <c r="P81" i="12"/>
  <c r="P78" i="12"/>
  <c r="P79" i="12"/>
  <c r="P76" i="12"/>
  <c r="P75" i="12"/>
  <c r="P74" i="12"/>
  <c r="P73" i="12"/>
  <c r="P72" i="12"/>
  <c r="P70" i="12"/>
  <c r="R68" i="12"/>
  <c r="R66" i="12"/>
  <c r="R64" i="12"/>
  <c r="R63" i="12"/>
  <c r="R67" i="12"/>
  <c r="R62" i="12"/>
  <c r="R61" i="12"/>
  <c r="R60" i="12"/>
  <c r="R59" i="12"/>
  <c r="R58" i="12"/>
  <c r="R57" i="12"/>
  <c r="P68" i="12"/>
  <c r="P66" i="12"/>
  <c r="P64" i="12"/>
  <c r="P63" i="12"/>
  <c r="P67" i="12"/>
  <c r="P62" i="12"/>
  <c r="P61" i="12"/>
  <c r="P60" i="12"/>
  <c r="P59" i="12"/>
  <c r="P58" i="12"/>
  <c r="P57" i="12"/>
  <c r="R54" i="12"/>
  <c r="R53" i="12"/>
  <c r="P54" i="12"/>
  <c r="P53" i="12"/>
  <c r="R51" i="12"/>
  <c r="R49" i="12"/>
  <c r="R48" i="12"/>
  <c r="R47" i="12"/>
  <c r="R46" i="12"/>
  <c r="P51" i="12"/>
  <c r="P49" i="12"/>
  <c r="P48" i="12"/>
  <c r="P47" i="12"/>
  <c r="R42" i="12"/>
  <c r="P46" i="12"/>
  <c r="P42" i="12"/>
  <c r="N58" i="12" l="1"/>
  <c r="J58" i="12"/>
  <c r="H58" i="12"/>
  <c r="F58" i="12"/>
  <c r="D98" i="12" l="1"/>
  <c r="D17" i="4" s="1"/>
  <c r="C11" i="16" l="1"/>
  <c r="N129" i="12" l="1"/>
  <c r="N127" i="12"/>
  <c r="N125" i="12"/>
  <c r="N124" i="12"/>
  <c r="N123" i="12"/>
  <c r="N122" i="12"/>
  <c r="N121" i="12"/>
  <c r="N120" i="12"/>
  <c r="N119" i="12"/>
  <c r="N117" i="12"/>
  <c r="N116" i="12"/>
  <c r="J129" i="12"/>
  <c r="J127" i="12"/>
  <c r="J126" i="12"/>
  <c r="J125" i="12"/>
  <c r="J124" i="12"/>
  <c r="J123" i="12"/>
  <c r="J122" i="12"/>
  <c r="J121" i="12"/>
  <c r="J120" i="12"/>
  <c r="J119" i="12"/>
  <c r="J117" i="12"/>
  <c r="J116" i="12"/>
  <c r="H129" i="12"/>
  <c r="H127" i="12"/>
  <c r="H126" i="12"/>
  <c r="H125" i="12"/>
  <c r="H124" i="12"/>
  <c r="H123" i="12"/>
  <c r="H122" i="12"/>
  <c r="H121" i="12"/>
  <c r="H120" i="12"/>
  <c r="H119" i="12"/>
  <c r="H117" i="12"/>
  <c r="H116" i="12"/>
  <c r="F129" i="12"/>
  <c r="F127" i="12"/>
  <c r="F126" i="12"/>
  <c r="F125" i="12"/>
  <c r="F124" i="12"/>
  <c r="F123" i="12"/>
  <c r="F122" i="12"/>
  <c r="F121" i="12"/>
  <c r="F120" i="12"/>
  <c r="F119" i="12"/>
  <c r="F117" i="12"/>
  <c r="F116" i="12"/>
  <c r="N114" i="12"/>
  <c r="N113" i="12"/>
  <c r="N111" i="12"/>
  <c r="N110" i="12"/>
  <c r="N109" i="12"/>
  <c r="N108" i="12"/>
  <c r="N107" i="12"/>
  <c r="N105" i="12"/>
  <c r="N104" i="12"/>
  <c r="N103" i="12"/>
  <c r="J114" i="12"/>
  <c r="J113" i="12"/>
  <c r="J111" i="12"/>
  <c r="J110" i="12"/>
  <c r="J109" i="12"/>
  <c r="J108" i="12"/>
  <c r="J107" i="12"/>
  <c r="J105" i="12"/>
  <c r="J104" i="12"/>
  <c r="J103" i="12"/>
  <c r="H114" i="12" l="1"/>
  <c r="H113" i="12"/>
  <c r="H111" i="12"/>
  <c r="H110" i="12"/>
  <c r="H109" i="12"/>
  <c r="H108" i="12"/>
  <c r="H107" i="12"/>
  <c r="H105" i="12"/>
  <c r="H104" i="12"/>
  <c r="H103" i="12"/>
  <c r="F114" i="12"/>
  <c r="F113" i="12"/>
  <c r="F111" i="12"/>
  <c r="F110" i="12"/>
  <c r="F109" i="12"/>
  <c r="F108" i="12"/>
  <c r="F107" i="12"/>
  <c r="F105" i="12"/>
  <c r="F104" i="12"/>
  <c r="F103" i="12"/>
  <c r="J101" i="12"/>
  <c r="J100" i="12"/>
  <c r="J99" i="12"/>
  <c r="H101" i="12"/>
  <c r="H100" i="12"/>
  <c r="H99" i="12"/>
  <c r="F101" i="12"/>
  <c r="F100" i="12"/>
  <c r="F99" i="12"/>
  <c r="N97" i="12"/>
  <c r="N96" i="12"/>
  <c r="N95" i="12"/>
  <c r="N94" i="12"/>
  <c r="N93" i="12"/>
  <c r="J97" i="12"/>
  <c r="J96" i="12"/>
  <c r="J95" i="12"/>
  <c r="J94" i="12"/>
  <c r="J93" i="12"/>
  <c r="H97" i="12"/>
  <c r="H96" i="12"/>
  <c r="H95" i="12"/>
  <c r="H94" i="12"/>
  <c r="H93" i="12"/>
  <c r="F97" i="12"/>
  <c r="F96" i="12"/>
  <c r="F95" i="12"/>
  <c r="F94" i="12"/>
  <c r="F93" i="12"/>
  <c r="N90" i="12" l="1"/>
  <c r="N89" i="12"/>
  <c r="N88" i="12"/>
  <c r="N87" i="12"/>
  <c r="N86" i="12"/>
  <c r="N85" i="12"/>
  <c r="J90" i="12"/>
  <c r="J89" i="12"/>
  <c r="J88" i="12"/>
  <c r="J87" i="12"/>
  <c r="J86" i="12"/>
  <c r="J85" i="12"/>
  <c r="H90" i="12"/>
  <c r="H89" i="12"/>
  <c r="H88" i="12"/>
  <c r="H87" i="12"/>
  <c r="H86" i="12"/>
  <c r="H85" i="12"/>
  <c r="F90" i="12"/>
  <c r="F89" i="12"/>
  <c r="F88" i="12"/>
  <c r="F87" i="12"/>
  <c r="F86" i="12"/>
  <c r="F85" i="12"/>
  <c r="N78" i="12"/>
  <c r="N79" i="12"/>
  <c r="N76" i="12"/>
  <c r="N75" i="12"/>
  <c r="N74" i="12"/>
  <c r="N73" i="12"/>
  <c r="N72" i="12"/>
  <c r="N70" i="12"/>
  <c r="J78" i="12"/>
  <c r="J81" i="12"/>
  <c r="J79" i="12"/>
  <c r="J76" i="12"/>
  <c r="J75" i="12"/>
  <c r="J74" i="12"/>
  <c r="J73" i="12"/>
  <c r="J72" i="12"/>
  <c r="J70" i="12"/>
  <c r="H78" i="12"/>
  <c r="H81" i="12"/>
  <c r="H79" i="12"/>
  <c r="H76" i="12"/>
  <c r="H75" i="12"/>
  <c r="H74" i="12"/>
  <c r="H73" i="12"/>
  <c r="H72" i="12"/>
  <c r="H70" i="12"/>
  <c r="F81" i="12"/>
  <c r="F79" i="12"/>
  <c r="F78" i="12"/>
  <c r="F76" i="12"/>
  <c r="F75" i="12"/>
  <c r="F74" i="12"/>
  <c r="F73" i="12"/>
  <c r="F72" i="12"/>
  <c r="F70" i="12"/>
  <c r="N66" i="12"/>
  <c r="N67" i="12"/>
  <c r="N62" i="12"/>
  <c r="N61" i="12"/>
  <c r="N60" i="12"/>
  <c r="N59" i="12"/>
  <c r="N57" i="12"/>
  <c r="J68" i="12"/>
  <c r="J66" i="12"/>
  <c r="J64" i="12"/>
  <c r="J63" i="12"/>
  <c r="J67" i="12"/>
  <c r="J62" i="12"/>
  <c r="J61" i="12"/>
  <c r="J60" i="12"/>
  <c r="J59" i="12"/>
  <c r="J57" i="12"/>
  <c r="H68" i="12" l="1"/>
  <c r="H67" i="12"/>
  <c r="H66" i="12"/>
  <c r="H64" i="12"/>
  <c r="H63" i="12"/>
  <c r="H62" i="12"/>
  <c r="H61" i="12"/>
  <c r="H60" i="12"/>
  <c r="H59" i="12"/>
  <c r="H57" i="12"/>
  <c r="F68" i="12" l="1"/>
  <c r="F67" i="12"/>
  <c r="F66" i="12"/>
  <c r="F64" i="12"/>
  <c r="F63" i="12"/>
  <c r="F62" i="12"/>
  <c r="F61" i="12"/>
  <c r="F60" i="12"/>
  <c r="F59" i="12"/>
  <c r="F57" i="12"/>
  <c r="N54" i="12"/>
  <c r="N53" i="12"/>
  <c r="J54" i="12"/>
  <c r="J53" i="12"/>
  <c r="H54" i="12"/>
  <c r="H53" i="12"/>
  <c r="F54" i="12"/>
  <c r="F53" i="12"/>
  <c r="N51" i="12" l="1"/>
  <c r="N49" i="12"/>
  <c r="N48" i="12"/>
  <c r="N47" i="12"/>
  <c r="N46" i="12"/>
  <c r="J51" i="12"/>
  <c r="J49" i="12"/>
  <c r="J48" i="12"/>
  <c r="J47" i="12"/>
  <c r="J46" i="12"/>
  <c r="H51" i="12"/>
  <c r="H49" i="12"/>
  <c r="H48" i="12"/>
  <c r="H47" i="12"/>
  <c r="H46" i="12"/>
  <c r="F51" i="12"/>
  <c r="F49" i="12"/>
  <c r="F48" i="12"/>
  <c r="F47" i="12"/>
  <c r="F46" i="12"/>
  <c r="N42" i="12"/>
  <c r="J42" i="12"/>
  <c r="F42" i="12" l="1"/>
  <c r="H42" i="12"/>
  <c r="D19" i="4" l="1"/>
  <c r="D15" i="4" l="1"/>
  <c r="D20" i="4" l="1"/>
  <c r="D102" i="12"/>
  <c r="D18" i="4" s="1"/>
  <c r="D16" i="4"/>
  <c r="D14" i="4"/>
  <c r="D13" i="4"/>
  <c r="D12" i="4" l="1"/>
  <c r="D11" i="4"/>
  <c r="C8" i="15" l="1"/>
  <c r="B30" i="15" l="1"/>
  <c r="I43" i="8" l="1"/>
  <c r="I63" i="8"/>
  <c r="G99" i="8"/>
  <c r="G100" i="8"/>
  <c r="F56" i="8"/>
  <c r="F57" i="8"/>
  <c r="C16" i="11"/>
  <c r="F14" i="10"/>
  <c r="D21" i="10"/>
  <c r="C21" i="10"/>
  <c r="F21" i="10"/>
  <c r="C30" i="4"/>
  <c r="H23" i="4"/>
  <c r="E23" i="4"/>
  <c r="F66" i="8"/>
  <c r="B66" i="8"/>
  <c r="B65" i="8"/>
  <c r="B64" i="8"/>
  <c r="F61" i="8"/>
  <c r="B61" i="8"/>
  <c r="F63" i="8"/>
  <c r="B63" i="8"/>
  <c r="B13" i="12"/>
  <c r="B35" i="8"/>
  <c r="I41" i="8"/>
  <c r="J41" i="8"/>
  <c r="F41" i="8"/>
  <c r="F35" i="8"/>
  <c r="B41" i="8"/>
  <c r="G32" i="10"/>
  <c r="G7" i="10"/>
  <c r="C7" i="10"/>
  <c r="E33" i="10"/>
  <c r="J92" i="8"/>
  <c r="J84" i="8"/>
  <c r="J71" i="8"/>
  <c r="J55" i="8"/>
  <c r="J81" i="8"/>
  <c r="B23" i="11"/>
  <c r="H8" i="10"/>
  <c r="G8" i="10"/>
  <c r="C48" i="17"/>
  <c r="C46" i="17"/>
  <c r="B33" i="17"/>
  <c r="D32" i="17"/>
  <c r="C27" i="17"/>
  <c r="F20" i="17"/>
  <c r="D19" i="17"/>
  <c r="H11" i="17"/>
  <c r="D10" i="17"/>
  <c r="C4" i="17"/>
  <c r="F31" i="17"/>
  <c r="E20" i="17"/>
  <c r="B11" i="17"/>
  <c r="G4" i="17"/>
  <c r="C43" i="17"/>
  <c r="D31" i="17"/>
  <c r="D20" i="17"/>
  <c r="C18" i="17"/>
  <c r="H10" i="17"/>
  <c r="F1" i="17"/>
  <c r="E32" i="17"/>
  <c r="G20" i="17"/>
  <c r="D15" i="17"/>
  <c r="D8" i="17"/>
  <c r="C52" i="17"/>
  <c r="C45" i="17"/>
  <c r="G32" i="17"/>
  <c r="F21" i="17"/>
  <c r="C19" i="17"/>
  <c r="H8" i="17"/>
  <c r="C51" i="17"/>
  <c r="F32" i="17"/>
  <c r="D21" i="17"/>
  <c r="F8" i="17"/>
  <c r="C50" i="17"/>
  <c r="C40" i="17"/>
  <c r="C31" i="17"/>
  <c r="F19" i="17"/>
  <c r="F10" i="17"/>
  <c r="F7" i="12"/>
  <c r="D16" i="16"/>
  <c r="D12" i="16"/>
  <c r="D15" i="16"/>
  <c r="J8" i="8"/>
  <c r="D11" i="16"/>
  <c r="I8" i="8"/>
  <c r="B73" i="2"/>
  <c r="B72" i="2"/>
  <c r="B71" i="2"/>
  <c r="AA82" i="2"/>
  <c r="B78" i="2"/>
  <c r="B74" i="2"/>
  <c r="AA80" i="2"/>
  <c r="B87" i="2"/>
  <c r="D70" i="2"/>
  <c r="B77" i="2"/>
  <c r="C70" i="2"/>
  <c r="AA79" i="2"/>
  <c r="B88" i="2"/>
  <c r="B82" i="2"/>
  <c r="B80" i="2"/>
  <c r="B76" i="2"/>
  <c r="B70" i="2"/>
  <c r="B85" i="2"/>
  <c r="B89" i="2"/>
  <c r="B81" i="2"/>
  <c r="B79" i="2"/>
  <c r="B75" i="2"/>
  <c r="B69" i="2"/>
  <c r="B86" i="2"/>
  <c r="F9" i="10"/>
  <c r="C31" i="4"/>
  <c r="C29" i="4"/>
  <c r="C1" i="2"/>
  <c r="E1" i="11"/>
  <c r="G1" i="8"/>
  <c r="O1" i="12"/>
  <c r="E1" i="15"/>
  <c r="E1" i="10"/>
  <c r="K1" i="4"/>
  <c r="I1" i="16"/>
  <c r="F25" i="4"/>
  <c r="E24" i="4"/>
  <c r="B9" i="4"/>
  <c r="D26" i="4"/>
  <c r="D23" i="4"/>
  <c r="C23" i="4"/>
  <c r="B25" i="2"/>
  <c r="C31" i="8"/>
  <c r="D21" i="4"/>
  <c r="I55" i="8"/>
  <c r="I61" i="8"/>
  <c r="J61" i="8"/>
  <c r="C136" i="12"/>
  <c r="B68" i="16"/>
  <c r="B64" i="16"/>
  <c r="F74" i="8"/>
  <c r="F73" i="8"/>
  <c r="F85" i="8"/>
  <c r="F72" i="8"/>
  <c r="F20" i="8"/>
  <c r="F11" i="8"/>
  <c r="F16" i="8"/>
  <c r="F18" i="8"/>
  <c r="F19" i="8"/>
  <c r="F15" i="8"/>
  <c r="F10" i="8"/>
  <c r="H4" i="15"/>
  <c r="R4" i="16"/>
  <c r="C7" i="16"/>
  <c r="C38" i="16"/>
  <c r="H4" i="11"/>
  <c r="F33" i="12"/>
  <c r="F33" i="10"/>
  <c r="B20" i="2"/>
  <c r="C20" i="4"/>
  <c r="C19" i="4"/>
  <c r="C28" i="16"/>
  <c r="C24" i="8"/>
  <c r="B22" i="8"/>
  <c r="E13" i="10"/>
  <c r="E11" i="10"/>
  <c r="F24" i="8"/>
  <c r="E12" i="10"/>
  <c r="C116" i="12"/>
  <c r="C103" i="12"/>
  <c r="D9" i="4"/>
  <c r="C70" i="12"/>
  <c r="F35" i="12"/>
  <c r="AA63" i="2"/>
  <c r="D43" i="2"/>
  <c r="C141" i="12"/>
  <c r="D141" i="12"/>
  <c r="B40" i="12"/>
  <c r="C140" i="12"/>
  <c r="C32" i="12"/>
  <c r="D18" i="12"/>
  <c r="D21" i="12"/>
  <c r="D16" i="12"/>
  <c r="D20" i="12"/>
  <c r="D15" i="12"/>
  <c r="D17" i="12"/>
  <c r="D19" i="12"/>
  <c r="D14" i="12"/>
  <c r="C11" i="4"/>
  <c r="D28" i="2"/>
  <c r="D29" i="2"/>
  <c r="C15" i="4"/>
  <c r="B48" i="8"/>
  <c r="B60" i="2"/>
  <c r="B49" i="2"/>
  <c r="F30" i="10"/>
  <c r="D35" i="2"/>
  <c r="F22" i="10"/>
  <c r="F7" i="8"/>
  <c r="B102" i="8"/>
  <c r="J35" i="8"/>
  <c r="F12" i="12"/>
  <c r="B77" i="8"/>
  <c r="I95" i="8"/>
  <c r="F105" i="8"/>
  <c r="F76" i="8"/>
  <c r="I93" i="8"/>
  <c r="I92" i="8"/>
  <c r="C9" i="8"/>
  <c r="B18" i="8"/>
  <c r="D13" i="12"/>
  <c r="D132" i="12"/>
  <c r="C8" i="16"/>
  <c r="F81" i="8"/>
  <c r="F75" i="8"/>
  <c r="I96" i="8"/>
  <c r="I84" i="8"/>
  <c r="B10" i="8"/>
  <c r="H12" i="12"/>
  <c r="B81" i="8"/>
  <c r="I94" i="8"/>
  <c r="I81" i="8"/>
  <c r="C137" i="12"/>
  <c r="F108" i="8"/>
  <c r="F9" i="8"/>
  <c r="C133" i="12"/>
  <c r="F11" i="12"/>
  <c r="D142" i="12"/>
  <c r="C156" i="12"/>
  <c r="F37" i="12"/>
  <c r="H57" i="10"/>
  <c r="C60" i="2"/>
  <c r="C21" i="11"/>
  <c r="I101" i="8"/>
  <c r="B22" i="2"/>
  <c r="H35" i="12"/>
  <c r="B29" i="2"/>
  <c r="B28" i="2"/>
  <c r="B7" i="11"/>
  <c r="C11" i="8"/>
  <c r="B47" i="8"/>
  <c r="C134" i="12"/>
  <c r="C16" i="8"/>
  <c r="C14" i="8"/>
  <c r="C13" i="8"/>
  <c r="C15" i="8"/>
  <c r="D31" i="2"/>
  <c r="C12" i="4"/>
  <c r="B29" i="11"/>
  <c r="C21" i="8"/>
  <c r="G101" i="8"/>
  <c r="H33" i="12"/>
  <c r="B58" i="2"/>
  <c r="B57" i="2"/>
  <c r="B24" i="2"/>
  <c r="H4" i="10"/>
  <c r="C10" i="11"/>
  <c r="J35" i="12"/>
  <c r="B45" i="2"/>
  <c r="B23" i="2"/>
  <c r="B4" i="2"/>
  <c r="C9" i="11"/>
  <c r="C56" i="10"/>
  <c r="C10" i="8"/>
  <c r="F103" i="8"/>
  <c r="B104" i="8"/>
  <c r="B54" i="2"/>
  <c r="D41" i="12"/>
  <c r="C7" i="4"/>
  <c r="F8" i="11"/>
  <c r="B42" i="2"/>
  <c r="B13" i="11"/>
  <c r="B44" i="2"/>
  <c r="U4" i="12"/>
  <c r="F36" i="10"/>
  <c r="B106" i="8"/>
  <c r="D7" i="12"/>
  <c r="B47" i="2"/>
  <c r="B14" i="2"/>
  <c r="H8" i="11"/>
  <c r="C7" i="12"/>
  <c r="B46" i="2"/>
  <c r="B13" i="2"/>
  <c r="D33" i="12"/>
  <c r="B38" i="2"/>
  <c r="B15" i="2"/>
  <c r="B22" i="11"/>
  <c r="I72" i="8"/>
  <c r="B50" i="2"/>
  <c r="H34" i="12"/>
  <c r="B109" i="8"/>
  <c r="C64" i="2"/>
  <c r="I83" i="8"/>
  <c r="C19" i="8"/>
  <c r="B39" i="2"/>
  <c r="E8" i="11"/>
  <c r="B56" i="2"/>
  <c r="C33" i="12"/>
  <c r="E9" i="10"/>
  <c r="C29" i="8"/>
  <c r="B43" i="2"/>
  <c r="E7" i="10"/>
  <c r="B4" i="11"/>
  <c r="C57" i="12"/>
  <c r="B41" i="2"/>
  <c r="D7" i="2"/>
  <c r="B30" i="11"/>
  <c r="C10" i="4"/>
  <c r="C61" i="2"/>
  <c r="B35" i="2"/>
  <c r="B11" i="2"/>
  <c r="C14" i="4"/>
  <c r="F82" i="8"/>
  <c r="B59" i="2"/>
  <c r="C7" i="11"/>
  <c r="I82" i="8"/>
  <c r="B10" i="2"/>
  <c r="E21" i="10"/>
  <c r="B51" i="2"/>
  <c r="C65" i="2"/>
  <c r="C85" i="12"/>
  <c r="B67" i="8"/>
  <c r="B62" i="2"/>
  <c r="H36" i="12"/>
  <c r="E15" i="10"/>
  <c r="I35" i="8"/>
  <c r="B82" i="8"/>
  <c r="B110" i="8"/>
  <c r="C66" i="2"/>
  <c r="D36" i="2"/>
  <c r="I7" i="8"/>
  <c r="C32" i="10"/>
  <c r="D40" i="12"/>
  <c r="C18" i="4"/>
  <c r="B66" i="2"/>
  <c r="B36" i="2"/>
  <c r="D8" i="13"/>
  <c r="C59" i="2"/>
  <c r="B7" i="2"/>
  <c r="D38" i="2"/>
  <c r="C53" i="12"/>
  <c r="C11" i="11"/>
  <c r="E56" i="10"/>
  <c r="I85" i="8"/>
  <c r="B21" i="2"/>
  <c r="D7" i="4"/>
  <c r="B103" i="8"/>
  <c r="C132" i="12"/>
  <c r="B16" i="2"/>
  <c r="B61" i="2"/>
  <c r="B65" i="2"/>
  <c r="B9" i="11"/>
  <c r="C7" i="8"/>
  <c r="B85" i="8"/>
  <c r="C16" i="4"/>
  <c r="B64" i="2"/>
  <c r="C28" i="8"/>
  <c r="C4" i="8"/>
  <c r="F57" i="10"/>
  <c r="E10" i="10"/>
  <c r="C4" i="12"/>
  <c r="C57" i="2"/>
  <c r="D10" i="13"/>
  <c r="B48" i="2"/>
  <c r="F7" i="10"/>
  <c r="B49" i="8"/>
  <c r="F99" i="8"/>
  <c r="D4" i="2"/>
  <c r="C93" i="12"/>
  <c r="C17" i="11"/>
  <c r="D32" i="10"/>
  <c r="B50" i="8"/>
  <c r="B31" i="2"/>
  <c r="J4" i="8"/>
  <c r="C12" i="8"/>
  <c r="C18" i="8"/>
  <c r="B52" i="2"/>
  <c r="B18" i="2"/>
  <c r="L33" i="12"/>
  <c r="B19" i="2"/>
  <c r="E58" i="10"/>
  <c r="F106" i="8"/>
  <c r="B107" i="8"/>
  <c r="C4" i="16"/>
  <c r="B12" i="2"/>
  <c r="C46" i="12"/>
  <c r="G40" i="10"/>
  <c r="D99" i="8"/>
  <c r="B63" i="2"/>
  <c r="C26" i="8"/>
  <c r="E40" i="10"/>
  <c r="B28" i="11"/>
  <c r="C13" i="4"/>
  <c r="C62" i="2"/>
  <c r="B32" i="2"/>
  <c r="C4" i="4"/>
  <c r="B53" i="2"/>
  <c r="B30" i="2"/>
  <c r="C58" i="2"/>
  <c r="J33" i="12"/>
  <c r="F15" i="10"/>
  <c r="B17" i="2"/>
  <c r="C27" i="8"/>
  <c r="B101" i="8"/>
  <c r="B34" i="2"/>
  <c r="C17" i="4"/>
  <c r="C17" i="8"/>
  <c r="C99" i="8"/>
  <c r="B78" i="8"/>
  <c r="F102" i="8"/>
  <c r="F104" i="8"/>
  <c r="F109" i="8"/>
  <c r="F32" i="10"/>
  <c r="C18" i="11"/>
  <c r="C40" i="12"/>
  <c r="F26" i="8"/>
  <c r="F25" i="8"/>
  <c r="F28" i="8"/>
  <c r="F27" i="8"/>
  <c r="I71" i="8"/>
  <c r="C42" i="12"/>
  <c r="C40" i="10"/>
  <c r="G57" i="10"/>
  <c r="F101" i="8"/>
  <c r="C4" i="10"/>
  <c r="C20" i="8"/>
  <c r="C25" i="8"/>
  <c r="B27" i="11"/>
  <c r="F107" i="8"/>
  <c r="F37" i="10"/>
  <c r="C99" i="12"/>
  <c r="C45" i="16" l="1"/>
  <c r="F40" i="16"/>
  <c r="C6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0" authorId="0" shapeId="0" xr:uid="{00000000-0006-0000-0200-000001000000}">
      <text>
        <r>
          <rPr>
            <b/>
            <sz val="9"/>
            <color indexed="81"/>
            <rFont val="Tahoma"/>
            <family val="2"/>
            <charset val="238"/>
          </rPr>
          <t>Autor:</t>
        </r>
        <r>
          <rPr>
            <sz val="9"/>
            <color indexed="81"/>
            <rFont val="Tahoma"/>
            <family val="2"/>
            <charset val="238"/>
          </rPr>
          <t xml:space="preserve">
WP Kobieta, WP Facet, WP Film, WP Gwiazdy, WP Opinie, WP Teleshow, WP Wiadomości, WP Moto, WP Tech, WP Turystyka, WP Kuchnia, WP Dom, WP Gry, WP Finanse, WP Książki, Wawalove</t>
        </r>
      </text>
    </comment>
    <comment ref="C62" authorId="0" shapeId="0" xr:uid="{00000000-0006-0000-0200-000002000000}">
      <text>
        <r>
          <rPr>
            <b/>
            <sz val="9"/>
            <color indexed="81"/>
            <rFont val="Tahoma"/>
            <family val="2"/>
            <charset val="238"/>
          </rPr>
          <t>Autor:</t>
        </r>
        <r>
          <rPr>
            <sz val="9"/>
            <color indexed="81"/>
            <rFont val="Tahoma"/>
            <family val="2"/>
            <charset val="238"/>
          </rPr>
          <t xml:space="preserve">
Możliwość wysłania maksymalnie 230 000 pushy/dzień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42" authorId="0" shapeId="0" xr:uid="{00000000-0006-0000-0400-000001000000}">
      <text>
        <r>
          <rPr>
            <b/>
            <sz val="9"/>
            <color indexed="81"/>
            <rFont val="Tahoma"/>
            <family val="2"/>
            <charset val="238"/>
          </rPr>
          <t>Autor:</t>
        </r>
        <r>
          <rPr>
            <sz val="9"/>
            <color indexed="81"/>
            <rFont val="Tahoma"/>
            <family val="2"/>
            <charset val="238"/>
          </rPr>
          <t xml:space="preserve">
Kliknij "+" z lewej strony aby rozwinąć pakiet</t>
        </r>
      </text>
    </comment>
    <comment ref="C46" authorId="0" shapeId="0" xr:uid="{00000000-0006-0000-0400-000002000000}">
      <text>
        <r>
          <rPr>
            <b/>
            <sz val="9"/>
            <color indexed="81"/>
            <rFont val="Tahoma"/>
            <family val="2"/>
            <charset val="238"/>
          </rPr>
          <t>Autor:</t>
        </r>
        <r>
          <rPr>
            <sz val="9"/>
            <color indexed="81"/>
            <rFont val="Tahoma"/>
            <family val="2"/>
            <charset val="238"/>
          </rPr>
          <t xml:space="preserve">
Kliknij "+" z lewej strony aby rozwinąć pakiet</t>
        </r>
      </text>
    </comment>
    <comment ref="C53" authorId="0" shapeId="0" xr:uid="{00000000-0006-0000-0400-000003000000}">
      <text>
        <r>
          <rPr>
            <b/>
            <sz val="9"/>
            <color indexed="81"/>
            <rFont val="Tahoma"/>
            <family val="2"/>
            <charset val="238"/>
          </rPr>
          <t>Autor:</t>
        </r>
        <r>
          <rPr>
            <sz val="9"/>
            <color indexed="81"/>
            <rFont val="Tahoma"/>
            <family val="2"/>
            <charset val="238"/>
          </rPr>
          <t xml:space="preserve">
Kliknij "+" z lewej strony aby rozwinąć pakiet</t>
        </r>
      </text>
    </comment>
    <comment ref="C57" authorId="0" shapeId="0" xr:uid="{00000000-0006-0000-0400-000004000000}">
      <text>
        <r>
          <rPr>
            <b/>
            <sz val="9"/>
            <color indexed="81"/>
            <rFont val="Tahoma"/>
            <family val="2"/>
            <charset val="238"/>
          </rPr>
          <t>Autor:</t>
        </r>
        <r>
          <rPr>
            <sz val="9"/>
            <color indexed="81"/>
            <rFont val="Tahoma"/>
            <family val="2"/>
            <charset val="238"/>
          </rPr>
          <t xml:space="preserve">
Kliknij "+" z lewej strony aby rozwinąć pakiet</t>
        </r>
      </text>
    </comment>
    <comment ref="C70" authorId="0" shapeId="0" xr:uid="{00000000-0006-0000-0400-000005000000}">
      <text>
        <r>
          <rPr>
            <b/>
            <sz val="9"/>
            <color indexed="81"/>
            <rFont val="Tahoma"/>
            <family val="2"/>
            <charset val="238"/>
          </rPr>
          <t>Autor:</t>
        </r>
        <r>
          <rPr>
            <sz val="9"/>
            <color indexed="81"/>
            <rFont val="Tahoma"/>
            <family val="2"/>
            <charset val="238"/>
          </rPr>
          <t xml:space="preserve">
Kliknij "+" z lewej strony aby rozwinąć pakiet</t>
        </r>
      </text>
    </comment>
    <comment ref="C85" authorId="0" shapeId="0" xr:uid="{00000000-0006-0000-0400-000006000000}">
      <text>
        <r>
          <rPr>
            <b/>
            <sz val="9"/>
            <color indexed="81"/>
            <rFont val="Tahoma"/>
            <family val="2"/>
            <charset val="238"/>
          </rPr>
          <t>Autor:</t>
        </r>
        <r>
          <rPr>
            <sz val="9"/>
            <color indexed="81"/>
            <rFont val="Tahoma"/>
            <family val="2"/>
            <charset val="238"/>
          </rPr>
          <t xml:space="preserve">
Kliknij "+" z lewej strony aby rozwinąć pakiet</t>
        </r>
      </text>
    </comment>
    <comment ref="C93" authorId="0" shapeId="0" xr:uid="{00000000-0006-0000-0400-000007000000}">
      <text>
        <r>
          <rPr>
            <b/>
            <sz val="9"/>
            <color indexed="81"/>
            <rFont val="Tahoma"/>
            <family val="2"/>
            <charset val="238"/>
          </rPr>
          <t>Autor:</t>
        </r>
        <r>
          <rPr>
            <sz val="9"/>
            <color indexed="81"/>
            <rFont val="Tahoma"/>
            <family val="2"/>
            <charset val="238"/>
          </rPr>
          <t xml:space="preserve">
Kliknij "+" z lewej strony aby rozwinąć pakiet</t>
        </r>
      </text>
    </comment>
    <comment ref="C99" authorId="0" shapeId="0" xr:uid="{00000000-0006-0000-0400-000008000000}">
      <text>
        <r>
          <rPr>
            <b/>
            <sz val="9"/>
            <color indexed="81"/>
            <rFont val="Tahoma"/>
            <family val="2"/>
            <charset val="238"/>
          </rPr>
          <t>Autor:</t>
        </r>
        <r>
          <rPr>
            <sz val="9"/>
            <color indexed="81"/>
            <rFont val="Tahoma"/>
            <family val="2"/>
            <charset val="238"/>
          </rPr>
          <t xml:space="preserve">
Kliknij "+" z lewej strony aby rozwinąć pakiet</t>
        </r>
      </text>
    </comment>
    <comment ref="C103" authorId="0" shapeId="0" xr:uid="{00000000-0006-0000-0400-000009000000}">
      <text>
        <r>
          <rPr>
            <b/>
            <sz val="9"/>
            <color indexed="81"/>
            <rFont val="Tahoma"/>
            <family val="2"/>
            <charset val="238"/>
          </rPr>
          <t>Autor:</t>
        </r>
        <r>
          <rPr>
            <sz val="9"/>
            <color indexed="81"/>
            <rFont val="Tahoma"/>
            <family val="2"/>
            <charset val="238"/>
          </rPr>
          <t xml:space="preserve">
Kliknij "+" z lewej strony aby rozwinąć pakiet</t>
        </r>
      </text>
    </comment>
    <comment ref="C116" authorId="0" shapeId="0" xr:uid="{00000000-0006-0000-0400-00000A000000}">
      <text>
        <r>
          <rPr>
            <b/>
            <sz val="9"/>
            <color indexed="81"/>
            <rFont val="Tahoma"/>
            <family val="2"/>
            <charset val="238"/>
          </rPr>
          <t>Autor:</t>
        </r>
        <r>
          <rPr>
            <sz val="9"/>
            <color indexed="81"/>
            <rFont val="Tahoma"/>
            <family val="2"/>
            <charset val="238"/>
          </rPr>
          <t xml:space="preserve">
Kliknij "+" z lewej strony aby rozwinąć pakiet</t>
        </r>
      </text>
    </comment>
    <comment ref="E141" authorId="0" shapeId="0" xr:uid="{00000000-0006-0000-0400-00000B000000}">
      <text>
        <r>
          <rPr>
            <b/>
            <sz val="9"/>
            <color indexed="81"/>
            <rFont val="Tahoma"/>
            <family val="2"/>
            <charset val="238"/>
          </rPr>
          <t>Autor:</t>
        </r>
        <r>
          <rPr>
            <sz val="9"/>
            <color indexed="81"/>
            <rFont val="Tahoma"/>
            <family val="2"/>
            <charset val="238"/>
          </rPr>
          <t xml:space="preserve">
Capp 3/uu na kampanię (na drugiej odsłonie autoexpand)</t>
        </r>
      </text>
    </comment>
    <comment ref="E143" authorId="0" shapeId="0" xr:uid="{00000000-0006-0000-0400-00000C000000}">
      <text>
        <r>
          <rPr>
            <b/>
            <sz val="9"/>
            <color indexed="81"/>
            <rFont val="Tahoma"/>
            <family val="2"/>
            <charset val="238"/>
          </rPr>
          <t>Autor:</t>
        </r>
        <r>
          <rPr>
            <sz val="9"/>
            <color indexed="81"/>
            <rFont val="Tahoma"/>
            <family val="2"/>
            <charset val="238"/>
          </rPr>
          <t xml:space="preserve">
Capp 3/uu na kampanię (na drugiej odsłonie autoexpand)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8" authorId="0" shapeId="0" xr:uid="{00000000-0006-0000-0700-000001000000}">
      <text>
        <r>
          <rPr>
            <b/>
            <sz val="9"/>
            <color indexed="81"/>
            <rFont val="Tahoma"/>
            <family val="2"/>
            <charset val="238"/>
          </rPr>
          <t>Autor:</t>
        </r>
        <r>
          <rPr>
            <sz val="9"/>
            <color indexed="81"/>
            <rFont val="Tahoma"/>
            <family val="2"/>
            <charset val="238"/>
          </rPr>
          <t xml:space="preserve">
Wiadomości Lokalne</t>
        </r>
      </text>
    </comment>
  </commentList>
</comments>
</file>

<file path=xl/sharedStrings.xml><?xml version="1.0" encoding="utf-8"?>
<sst xmlns="http://schemas.openxmlformats.org/spreadsheetml/2006/main" count="1045" uniqueCount="330">
  <si>
    <t xml:space="preserve">            Wybór języka - Language</t>
  </si>
  <si>
    <t>PROSZĘ WYBRAĆ JĘZYK</t>
  </si>
  <si>
    <t>PLEASE CHOOSE LANGUAGE</t>
  </si>
  <si>
    <t>Polski</t>
  </si>
  <si>
    <t>English</t>
  </si>
  <si>
    <r>
      <t>Double Billboard lub Wideboard</t>
    </r>
    <r>
      <rPr>
        <vertAlign val="superscript"/>
        <sz val="8"/>
        <color indexed="8"/>
        <rFont val="Tahoma"/>
        <family val="2"/>
      </rPr>
      <t>1</t>
    </r>
  </si>
  <si>
    <t>Triple Billboard</t>
  </si>
  <si>
    <t>Money Box</t>
  </si>
  <si>
    <r>
      <t>Content Box</t>
    </r>
    <r>
      <rPr>
        <vertAlign val="superscript"/>
        <sz val="8"/>
        <color indexed="8"/>
        <rFont val="Tahoma"/>
        <family val="2"/>
      </rPr>
      <t>2</t>
    </r>
  </si>
  <si>
    <t>ROS SPORTOWEFAKTY (DESKTOP)</t>
  </si>
  <si>
    <r>
      <t>ROS SPORTOWEFAKTY (MOBILE)</t>
    </r>
    <r>
      <rPr>
        <b/>
        <vertAlign val="superscript"/>
        <sz val="8"/>
        <color indexed="9"/>
        <rFont val="Tahoma"/>
        <family val="2"/>
        <charset val="238"/>
      </rPr>
      <t>1</t>
    </r>
  </si>
  <si>
    <t>ROS DOBREPROGRAMY.PL (DESKTOP)</t>
  </si>
  <si>
    <t>Doublebillborad / Wideborad capp 3/uu</t>
  </si>
  <si>
    <t>WP Facet, WP Teleshow, WP Film, WP Opinie, WP Turystyka, WP Gwiazdy, WP Gry, WP Wiadomości, WP Kuchnia, WP Finanse, WP Dom, WP Moto, WP Kobieta, WP Tech, WP Książki, Wawalove</t>
  </si>
  <si>
    <t>WP Wiadomości, WP Opinie</t>
  </si>
  <si>
    <t>Technologia</t>
  </si>
  <si>
    <t>WP Tech, dobreprogramy.pl, Komórkomania, Gadżetomania, Fotoblogia</t>
  </si>
  <si>
    <t>WP Kobieta, Kafeteria</t>
  </si>
  <si>
    <t>abcZdrowie, Parenting</t>
  </si>
  <si>
    <t>WP Sportowefakty</t>
  </si>
  <si>
    <t xml:space="preserve">Plotka </t>
  </si>
  <si>
    <t>WP Gwiazdy, Pudelek¹</t>
  </si>
  <si>
    <t>WP Turystyka, WP Pogoda</t>
  </si>
  <si>
    <t>FORMAT</t>
  </si>
  <si>
    <t>WP SG</t>
  </si>
  <si>
    <t>WP SportoweFakty</t>
  </si>
  <si>
    <t xml:space="preserve">
</t>
  </si>
  <si>
    <t>DESKTOP</t>
  </si>
  <si>
    <t>WP Autokult</t>
  </si>
  <si>
    <t>WP Gadżetomania</t>
  </si>
  <si>
    <t>WP Komórkomania</t>
  </si>
  <si>
    <t>WP Fotoblogia</t>
  </si>
  <si>
    <t>WP abcZdrowie</t>
  </si>
  <si>
    <t>WP Parenting</t>
  </si>
  <si>
    <t>WP Wiadomości</t>
  </si>
  <si>
    <t>WP Moto</t>
  </si>
  <si>
    <t>WP Finanse</t>
  </si>
  <si>
    <t>WP Film</t>
  </si>
  <si>
    <t>WP Turystyka</t>
  </si>
  <si>
    <t>WP Kobieta</t>
  </si>
  <si>
    <t>WP Książki</t>
  </si>
  <si>
    <t>WP Kuchnia</t>
  </si>
  <si>
    <t>WP Facet</t>
  </si>
  <si>
    <t>Sport</t>
  </si>
  <si>
    <t>Pudelek</t>
  </si>
  <si>
    <t xml:space="preserve">WP </t>
  </si>
  <si>
    <t xml:space="preserve">O2 </t>
  </si>
  <si>
    <t>-</t>
  </si>
  <si>
    <t>WP + O2 [CPM]</t>
  </si>
  <si>
    <t>WP lub O2 [CPM]</t>
  </si>
  <si>
    <t>COMMERCIAL BREAK³</t>
  </si>
  <si>
    <t>PREMIUM HP</t>
  </si>
  <si>
    <t>FLAT FEE</t>
  </si>
  <si>
    <t>WP Gwiazdy</t>
  </si>
  <si>
    <t>Mazowieckie</t>
  </si>
  <si>
    <t>Pomorskie, Wielkopolskie, Śląskie</t>
  </si>
  <si>
    <t>Dolnośląskie, Małopolskie</t>
  </si>
  <si>
    <t>Kujawsko-Pomorskie, Lubelskie, Podkarpackie, Zachodniopomorskie, Łódzkie</t>
  </si>
  <si>
    <t>Lubuskie, Opolskie, Podlaskie, Warmińsko-mazurskie, Świętokrzyskie</t>
  </si>
  <si>
    <t>15"</t>
  </si>
  <si>
    <t>30"</t>
  </si>
  <si>
    <t>PAKIET SPECJALNY</t>
  </si>
  <si>
    <t>+50%</t>
  </si>
  <si>
    <t>+30%</t>
  </si>
  <si>
    <t>+10%</t>
  </si>
  <si>
    <t>+15%</t>
  </si>
  <si>
    <t>+100%</t>
  </si>
  <si>
    <t>+20%</t>
  </si>
  <si>
    <t>+1%</t>
  </si>
  <si>
    <t>+11.5%</t>
  </si>
  <si>
    <t>+15 PLN</t>
  </si>
  <si>
    <t xml:space="preserve">http://reklama.wp.pl/kat,1039751,dokumenty.html </t>
  </si>
  <si>
    <t>Midbox FF</t>
  </si>
  <si>
    <t>10 000 UU</t>
  </si>
  <si>
    <t>2 x 10 000 UU</t>
  </si>
  <si>
    <t>3 x 10 000 UU</t>
  </si>
  <si>
    <t>4 x 10 000 UU</t>
  </si>
  <si>
    <t>12 500 UU</t>
  </si>
  <si>
    <t>2 x 12 500 UU</t>
  </si>
  <si>
    <t>3 x 12 500 UU</t>
  </si>
  <si>
    <t>4 x 12 500 UU</t>
  </si>
  <si>
    <t>Retail Dniówka</t>
  </si>
  <si>
    <t>Money ROS</t>
  </si>
  <si>
    <t>WP Opinie</t>
  </si>
  <si>
    <t>MEGASCREENING</t>
  </si>
  <si>
    <t>Viewable CPM¹</t>
  </si>
  <si>
    <t>VCPM RC</t>
  </si>
  <si>
    <t>ROS DOBREPROGRAMY.PL (MOBILE)</t>
  </si>
  <si>
    <t>ARTYKUŁY SPONSOROWANE</t>
  </si>
  <si>
    <t>GWARANCJA UU¹</t>
  </si>
  <si>
    <t>2 000 UU</t>
  </si>
  <si>
    <t>3 000 UU</t>
  </si>
  <si>
    <t>4 000 UU</t>
  </si>
  <si>
    <t>5 000 UU</t>
  </si>
  <si>
    <t>bez gwarancji</t>
  </si>
  <si>
    <t>2 000 PLN</t>
  </si>
  <si>
    <t>nd</t>
  </si>
  <si>
    <t>4 000 PLN</t>
  </si>
  <si>
    <t>6 000 PLN</t>
  </si>
  <si>
    <t>8 000 PLN</t>
  </si>
  <si>
    <t>10 000 PLN</t>
  </si>
  <si>
    <t>ARTYKUŁ NATYWNY</t>
  </si>
  <si>
    <t>PLOTKA NATYWNA¹</t>
  </si>
  <si>
    <t>WPM ZASIĘG INSTREAM</t>
  </si>
  <si>
    <t>PLOTKA SPONSOROWANA</t>
  </si>
  <si>
    <t>Flat Fee 1 dzień / net net</t>
  </si>
  <si>
    <t>20 000 PLN</t>
  </si>
  <si>
    <t>Flat Fee 7 dni / net net</t>
  </si>
  <si>
    <t>25 000 PLN</t>
  </si>
  <si>
    <t>PLOTKI SPONSOROWANE I NATYWNE</t>
  </si>
  <si>
    <t>styczeń-październik</t>
  </si>
  <si>
    <t>listopad - grudzień</t>
  </si>
  <si>
    <t>DZIEŃ</t>
  </si>
  <si>
    <t>MIEJSCE EMISJI</t>
  </si>
  <si>
    <t>Pakiet serwisów Premium</t>
  </si>
  <si>
    <t>PANEL PREMIUM</t>
  </si>
  <si>
    <t>RECTANGLE</t>
  </si>
  <si>
    <t>REKLAMA FLAT FEE - mobile Poczta WP i o2</t>
  </si>
  <si>
    <t>Poczta WP</t>
  </si>
  <si>
    <t>Poczta o2</t>
  </si>
  <si>
    <t>LOGIN BOKS</t>
  </si>
  <si>
    <t>BANNER W INTERFEJSIE</t>
  </si>
  <si>
    <t>REKLAMA CPM w aplikacji</t>
  </si>
  <si>
    <t>Open FM</t>
  </si>
  <si>
    <t>WP Pilot</t>
  </si>
  <si>
    <t>BANNER</t>
  </si>
  <si>
    <t>vCPM (1 000 widzialnych odsłon)</t>
  </si>
  <si>
    <t>Portal Money.pl</t>
  </si>
  <si>
    <t>WP Pogoda</t>
  </si>
  <si>
    <t>Wawalove</t>
  </si>
  <si>
    <t>WP Program TV</t>
  </si>
  <si>
    <t>WP Teleshow</t>
  </si>
  <si>
    <t>WP Wideo</t>
  </si>
  <si>
    <t>o2 serwisy</t>
  </si>
  <si>
    <t>OpenFM</t>
  </si>
  <si>
    <t>Kafeteria.pl</t>
  </si>
  <si>
    <t>WP Tech</t>
  </si>
  <si>
    <t>WP Fitness</t>
  </si>
  <si>
    <t>WP Gry</t>
  </si>
  <si>
    <t>dobreprogramy.pl⁵</t>
  </si>
  <si>
    <t>Medycyna24</t>
  </si>
  <si>
    <t>Nerwica.com</t>
  </si>
  <si>
    <t>PUSH REKLAMOWY</t>
  </si>
  <si>
    <t>brak</t>
  </si>
  <si>
    <t>• Artykuł sponsorowany bez gwarancji jest promowany zajawką na SG serwisu. W serwisach PAKO, wpis spada w streamie treści. W pozostałych serwisach zajawka artykułu jest promowana przez 24h.</t>
  </si>
  <si>
    <t>Pakiet Money ROS (nowa wersja serwisu)</t>
  </si>
  <si>
    <t>Double Billboard lub Halfpage</t>
  </si>
  <si>
    <t>Screening 200 + Double Billboard</t>
  </si>
  <si>
    <t>cap3xuu / dzień</t>
  </si>
  <si>
    <t>Banner XL</t>
  </si>
  <si>
    <t>Glonews FF</t>
  </si>
  <si>
    <t>Skyscraper</t>
  </si>
  <si>
    <t>Bottom Box</t>
  </si>
  <si>
    <t>Logout Box</t>
  </si>
  <si>
    <t>REKLAMA NATYWNA FLAT FEE - m.wp.pl (strona główna)</t>
  </si>
  <si>
    <t>Wiadomości</t>
  </si>
  <si>
    <t>NATIVE AD w module tematycznym</t>
  </si>
  <si>
    <t>Biznes</t>
  </si>
  <si>
    <t>Gwiazdy</t>
  </si>
  <si>
    <t>Moto</t>
  </si>
  <si>
    <t>Styl Życia</t>
  </si>
  <si>
    <t>cap 1/uu / godzinę / dzień</t>
  </si>
  <si>
    <t xml:space="preserve"> </t>
  </si>
  <si>
    <t>CONTENT BOX rotacyjny</t>
  </si>
  <si>
    <t>mobilna Strona Główna WP.PL, moduły tematyczne: Sport, Biznes, Gwiazdy, Moto&amp;Tech, Styl Życia</t>
  </si>
  <si>
    <t>+75%</t>
  </si>
  <si>
    <t>Rich Media w kreacji</t>
  </si>
  <si>
    <t>STAT. WEW.</t>
  </si>
  <si>
    <t>STAT. ZEW.</t>
  </si>
  <si>
    <t>5 000 PLN net net</t>
  </si>
  <si>
    <t>3 000 PLN net net</t>
  </si>
  <si>
    <t>CENA RC</t>
  </si>
  <si>
    <t>o2.pl</t>
  </si>
  <si>
    <t>mobilna o2.pl (Strona Główna + ROS)</t>
  </si>
  <si>
    <t>pakiet dzienny 500 000 PV / 40 000 zł RC (vCPM 80 PLN)</t>
  </si>
  <si>
    <r>
      <t>HALFPAGE</t>
    </r>
    <r>
      <rPr>
        <b/>
        <vertAlign val="superscript"/>
        <sz val="8"/>
        <color theme="0"/>
        <rFont val="Tahoma"/>
        <family val="2"/>
        <charset val="238"/>
      </rPr>
      <t>2,3</t>
    </r>
  </si>
  <si>
    <r>
      <rPr>
        <vertAlign val="superscript"/>
        <sz val="8"/>
        <color theme="1"/>
        <rFont val="Tahoma"/>
        <family val="2"/>
        <charset val="238"/>
      </rPr>
      <t>2</t>
    </r>
    <r>
      <rPr>
        <sz val="8"/>
        <color theme="1"/>
        <rFont val="Tahoma"/>
        <family val="2"/>
        <charset val="238"/>
      </rPr>
      <t xml:space="preserve"> możliwość emisji formatu z efektem parallaxy: +15% do ceny</t>
    </r>
  </si>
  <si>
    <t>FF od 4. odsłony</t>
  </si>
  <si>
    <t>FF / dzień</t>
  </si>
  <si>
    <t>FF / dzień / net net</t>
  </si>
  <si>
    <t>FF / tydzień / net net</t>
  </si>
  <si>
    <t>FF / tydzień</t>
  </si>
  <si>
    <r>
      <rPr>
        <vertAlign val="superscript"/>
        <sz val="8"/>
        <color theme="1"/>
        <rFont val="Tahoma"/>
        <family val="2"/>
        <charset val="238"/>
      </rPr>
      <t>3</t>
    </r>
    <r>
      <rPr>
        <sz val="8"/>
        <color theme="1"/>
        <rFont val="Tahoma"/>
        <family val="2"/>
        <charset val="238"/>
      </rPr>
      <t xml:space="preserve"> na WP SG możliwość emisji formy reklamowej Rectangle lub Halfpage w tej samej cenie</t>
    </r>
  </si>
  <si>
    <t>cap 3/uu / dzień</t>
  </si>
  <si>
    <t>(I dniówka) (slot x03)</t>
  </si>
  <si>
    <t>(II dniówka) (slot x03)</t>
  </si>
  <si>
    <t>COMMERCIAL BREAK</t>
  </si>
  <si>
    <t>(slot x02)</t>
  </si>
  <si>
    <r>
      <t>PANEL PREMIUM</t>
    </r>
    <r>
      <rPr>
        <b/>
        <vertAlign val="superscript"/>
        <sz val="8"/>
        <color theme="0"/>
        <rFont val="Tahoma"/>
        <family val="2"/>
        <charset val="238"/>
      </rPr>
      <t>4</t>
    </r>
  </si>
  <si>
    <t>Banner skalowalny</t>
  </si>
  <si>
    <r>
      <t>RECTANGLE / HALFPAGE</t>
    </r>
    <r>
      <rPr>
        <b/>
        <vertAlign val="superscript"/>
        <sz val="8"/>
        <color theme="0"/>
        <rFont val="Tahoma"/>
        <family val="2"/>
        <charset val="238"/>
      </rPr>
      <t>1,2,3</t>
    </r>
  </si>
  <si>
    <t>Banner (mobile)</t>
  </si>
  <si>
    <t>Karuzela XL</t>
  </si>
  <si>
    <r>
      <rPr>
        <vertAlign val="superscript"/>
        <sz val="8"/>
        <color rgb="FF000000"/>
        <rFont val="Tahoma"/>
        <family val="2"/>
        <charset val="238"/>
      </rPr>
      <t>3</t>
    </r>
    <r>
      <rPr>
        <sz val="8"/>
        <color rgb="FF000000"/>
        <rFont val="Tahoma"/>
        <family val="2"/>
        <charset val="238"/>
      </rPr>
      <t xml:space="preserve"> karuzela XL: +50%</t>
    </r>
  </si>
  <si>
    <t>ROS OPEN.FM (DESKTOP)</t>
  </si>
  <si>
    <t>ROS OPEN.FM (MOBILE)</t>
  </si>
  <si>
    <t>Screening capp 1/uu + Wideoboard capp 2/uu</t>
  </si>
  <si>
    <t>Double Billboard/Halfpage 3/uu / dzień</t>
  </si>
  <si>
    <t>tydzień</t>
  </si>
  <si>
    <t>reklama przy playerze wideo</t>
  </si>
  <si>
    <t>6"</t>
  </si>
  <si>
    <t>PAKIET APLIKACJI</t>
  </si>
  <si>
    <t>OpenFM, WP Pilot</t>
  </si>
  <si>
    <t>EMISJA ODSŁONOWA CPM</t>
  </si>
  <si>
    <t>Serwis OpenFM (aplikacja oraz WWW)</t>
  </si>
  <si>
    <t>Surround Ad (Mega Double Billboard + Halfpage 3/uu / dzień)</t>
  </si>
  <si>
    <r>
      <rPr>
        <vertAlign val="superscript"/>
        <sz val="8"/>
        <color theme="1"/>
        <rFont val="Tahoma"/>
        <family val="2"/>
        <charset val="238"/>
      </rPr>
      <t>⁴</t>
    </r>
    <r>
      <rPr>
        <sz val="8"/>
        <color theme="1"/>
        <rFont val="Tahoma"/>
        <family val="2"/>
      </rPr>
      <t xml:space="preserve"> Rozliczenie po statystykach wewnętrznych WPM, 100% widoczności playera przez minimum 2 sekundy. W przypadku mierzenia kodami zewnętrznymi dopłata do ceny bazowej +30%.</t>
    </r>
  </si>
  <si>
    <t>IN VIDEO BANNER</t>
  </si>
  <si>
    <t>BRANDING PLAYERA</t>
  </si>
  <si>
    <t>do 60"</t>
  </si>
  <si>
    <t>max 30"</t>
  </si>
  <si>
    <t>WP Dom</t>
  </si>
  <si>
    <t>Targetowanie reklamy video DataPower: wycena indywidualna</t>
  </si>
  <si>
    <t>Targetowanie reklamy video po kategoriach demograficznych i geograficznych zgodnie z dopłatami w zakładce "Dopłaty - Extra charges"</t>
  </si>
  <si>
    <r>
      <rPr>
        <vertAlign val="superscript"/>
        <sz val="8"/>
        <color theme="1"/>
        <rFont val="Tahoma"/>
        <family val="2"/>
        <charset val="238"/>
      </rPr>
      <t>1</t>
    </r>
    <r>
      <rPr>
        <sz val="8"/>
        <color theme="1"/>
        <rFont val="Tahoma"/>
        <family val="2"/>
        <charset val="238"/>
      </rPr>
      <t xml:space="preserve"> możliwość emisji formatu z efektem parallaxy: +15% do ceny bazowej</t>
    </r>
  </si>
  <si>
    <r>
      <rPr>
        <vertAlign val="superscript"/>
        <sz val="8"/>
        <color theme="1"/>
        <rFont val="Tahoma"/>
        <family val="2"/>
        <charset val="238"/>
      </rPr>
      <t>2</t>
    </r>
    <r>
      <rPr>
        <sz val="8"/>
        <color theme="1"/>
        <rFont val="Tahoma"/>
        <family val="2"/>
        <charset val="238"/>
      </rPr>
      <t xml:space="preserve"> karuzela, scroller, slider, cube w rectangle'u: +30%; karuzela XL +50% do ceny bazowej</t>
    </r>
  </si>
  <si>
    <r>
      <rPr>
        <vertAlign val="superscript"/>
        <sz val="8"/>
        <color theme="1"/>
        <rFont val="Tahoma"/>
        <family val="2"/>
        <charset val="238"/>
      </rPr>
      <t>4</t>
    </r>
    <r>
      <rPr>
        <sz val="8"/>
        <color theme="1"/>
        <rFont val="Tahoma"/>
        <family val="2"/>
        <charset val="238"/>
      </rPr>
      <t xml:space="preserve"> możliwa emisja FullPage Mobile Panel Premium: +25% do ceny bazowej (Format dostepny na Stronie Głównej WP oraz serwisach: WP Pogoda, WP Program TV, WP Facet, WP Teleshow, WP Film, WP Opinie, WP Turystyka, WP Gwiazdy, WP Gry, WP Wiadomości, WP Kuchnia, WP Finanse, WP Dom, WP Moto, WP Kobieta, WP Tech, WP Książki, WP Wawalove)</t>
    </r>
  </si>
  <si>
    <t>DP Biznes, Dp Finanse, DP Ubezpieczenia</t>
  </si>
  <si>
    <t>DP Sport</t>
  </si>
  <si>
    <t>DP Motoryzacja</t>
  </si>
  <si>
    <t>DP Rozrywka, DP Zainteresowania</t>
  </si>
  <si>
    <t>DP Zakupy, DP Kuchnia, DP Lifestyle, DP Sportowcy, DP Turysyka</t>
  </si>
  <si>
    <t>DP Technologia, DP Gracze</t>
  </si>
  <si>
    <t>DP Zdrowie, DP Rodzina, DP Uroda,  DP Poszukujący lekarza</t>
  </si>
  <si>
    <t>WP Data Power Geotargetowanie, województwa, miasta, konkretna lokalizacja</t>
  </si>
  <si>
    <t>Persony użytkowników- składa się z kilku wybranych cech (segmentów). Aby użytkwonik trafił do profilu, musi spełnić wszystkie warunki - uzyskujemy pełny obraz użytkownika - obecnie 10 gotowych Person. Podsumowanie kampaniij z raportem Audience Discovery (wersja podstawowa i rozszerzona).</t>
  </si>
  <si>
    <t>Unikalne grupy dedykowane. Segmenty tworzymy pod konkretnego klienta lub konkretną kampanię.</t>
  </si>
  <si>
    <t>WP SG, o2 SG - po wybranych standardowych segmentach WP DataPower</t>
  </si>
  <si>
    <t>WPM Zasięg (bez stron głównych o2 i WP oraz serwisów pocztowych) - po wybranych standardowych segmentach WP DataPower</t>
  </si>
  <si>
    <t>Panel Premium FF</t>
  </si>
  <si>
    <t>Pudelek.pl (Strona Główna + ROS)</t>
  </si>
  <si>
    <t>BANNER XL</t>
  </si>
  <si>
    <t>CENA net net</t>
  </si>
  <si>
    <t>CPM RC</t>
  </si>
  <si>
    <t>pakiet dzienny 1 000 000 PV / 80 000 zł RC (vCPM 80 PLN)</t>
  </si>
  <si>
    <t>Pudelek SG</t>
  </si>
  <si>
    <t>(slot x05)</t>
  </si>
  <si>
    <t>Flat Fee / dzień</t>
  </si>
  <si>
    <t>Panel Premium</t>
  </si>
  <si>
    <t>styczeń - wrzesień</t>
  </si>
  <si>
    <t>październik - grudzień</t>
  </si>
  <si>
    <t>WP SG + Pudelek SG</t>
  </si>
  <si>
    <t>ROS</t>
  </si>
  <si>
    <t>18 000 PLN net net</t>
  </si>
  <si>
    <r>
      <t>WP Money</t>
    </r>
    <r>
      <rPr>
        <sz val="8"/>
        <color theme="1"/>
        <rFont val="Tahoma"/>
        <family val="2"/>
        <charset val="238"/>
      </rPr>
      <t xml:space="preserve"> (bez subdomen)</t>
    </r>
  </si>
  <si>
    <t>SG + ROS</t>
  </si>
  <si>
    <t>Pudelek.pl SG + ROS</t>
  </si>
  <si>
    <r>
      <rPr>
        <vertAlign val="superscript"/>
        <sz val="8"/>
        <color theme="1"/>
        <rFont val="Tahoma"/>
        <family val="2"/>
        <charset val="238"/>
      </rPr>
      <t>5</t>
    </r>
    <r>
      <rPr>
        <sz val="8"/>
        <color theme="1"/>
        <rFont val="Tahoma"/>
        <family val="2"/>
        <charset val="238"/>
      </rPr>
      <t xml:space="preserve"> Cena za spot interaktywny targetowany dynamicznie</t>
    </r>
  </si>
  <si>
    <r>
      <t>0,08 PLN (0,09 PLN</t>
    </r>
    <r>
      <rPr>
        <vertAlign val="superscript"/>
        <sz val="8"/>
        <color theme="4" tint="-0.249977111117893"/>
        <rFont val="Tahoma"/>
        <family val="2"/>
        <charset val="238"/>
      </rPr>
      <t>5</t>
    </r>
    <r>
      <rPr>
        <sz val="8"/>
        <color theme="4" tint="-0.249977111117893"/>
        <rFont val="Tahoma"/>
        <family val="2"/>
        <charset val="238"/>
      </rPr>
      <t>)</t>
    </r>
  </si>
  <si>
    <r>
      <t>0,10 PLN (0,11 PLN</t>
    </r>
    <r>
      <rPr>
        <vertAlign val="superscript"/>
        <sz val="8"/>
        <color theme="4" tint="-0.249977111117893"/>
        <rFont val="Tahoma"/>
        <family val="2"/>
        <charset val="238"/>
      </rPr>
      <t>5</t>
    </r>
    <r>
      <rPr>
        <sz val="8"/>
        <color theme="4" tint="-0.249977111117893"/>
        <rFont val="Tahoma"/>
        <family val="2"/>
        <charset val="238"/>
      </rPr>
      <t>)</t>
    </r>
  </si>
  <si>
    <t>Flat Fee / tydzień</t>
  </si>
  <si>
    <t>SEKCJA</t>
  </si>
  <si>
    <t>Strona Główna</t>
  </si>
  <si>
    <t>WP</t>
  </si>
  <si>
    <t>Strona Główna + ROS</t>
  </si>
  <si>
    <t xml:space="preserve">Content Box (x15) FF </t>
  </si>
  <si>
    <t>Content Box (x16) XL FF</t>
  </si>
  <si>
    <t>Native Ad (x20) FF</t>
  </si>
  <si>
    <t>Native Ad (x21) FF</t>
  </si>
  <si>
    <t>Content Box (x15) FF</t>
  </si>
  <si>
    <t>Content Box XL (x16) FF</t>
  </si>
  <si>
    <t>40 000 PLN</t>
  </si>
  <si>
    <t>35 000 PLN</t>
  </si>
  <si>
    <t>O2</t>
  </si>
  <si>
    <t>O2 SG + ROS</t>
  </si>
  <si>
    <t>WP SG (desktop)</t>
  </si>
  <si>
    <t>WP SG (Native Ad Gwiazdy)
Pudelek SG (Native Ad Hotnews 21)</t>
  </si>
  <si>
    <t>STRONA GŁÓWNA WP MONEY (DESKTOP/TABLET)</t>
  </si>
  <si>
    <t>STRONA GŁÓWNA WP MONEY (MOBILE)</t>
  </si>
  <si>
    <t>Screening</t>
  </si>
  <si>
    <t>MidBox (slot x062)</t>
  </si>
  <si>
    <t>O2 Box (slot x34)</t>
  </si>
  <si>
    <t>Halfpage (slot x37)</t>
  </si>
  <si>
    <t>Native Ad Gwiazdy /  Native Ad Hotnews (slot x21)</t>
  </si>
  <si>
    <t>BANNER XL z karuzelą</t>
  </si>
  <si>
    <r>
      <rPr>
        <vertAlign val="superscript"/>
        <sz val="8"/>
        <color theme="1"/>
        <rFont val="Tahoma"/>
        <family val="2"/>
        <charset val="238"/>
      </rPr>
      <t>6</t>
    </r>
    <r>
      <rPr>
        <sz val="8"/>
        <color theme="1"/>
        <rFont val="Tahoma"/>
        <family val="2"/>
        <charset val="238"/>
      </rPr>
      <t xml:space="preserve"> 3x100: 100% widzialne, 100% obejrzane do końca, 100% niepominięte</t>
    </r>
  </si>
  <si>
    <r>
      <rPr>
        <vertAlign val="superscript"/>
        <sz val="8"/>
        <color theme="1"/>
        <rFont val="Tahoma"/>
        <family val="2"/>
        <charset val="238"/>
      </rPr>
      <t>7</t>
    </r>
    <r>
      <rPr>
        <sz val="8"/>
        <color theme="1"/>
        <rFont val="Tahoma"/>
        <family val="2"/>
        <charset val="238"/>
      </rPr>
      <t xml:space="preserve"> CPV: rozliczenie za 100% odtworzone do końca</t>
    </r>
  </si>
  <si>
    <r>
      <rPr>
        <vertAlign val="superscript"/>
        <sz val="8"/>
        <color theme="1"/>
        <rFont val="Tahoma"/>
        <family val="2"/>
        <charset val="238"/>
      </rPr>
      <t>8</t>
    </r>
    <r>
      <rPr>
        <sz val="8"/>
        <color theme="1"/>
        <rFont val="Tahoma"/>
        <family val="2"/>
        <charset val="238"/>
      </rPr>
      <t xml:space="preserve"> vCPM: rozliczenie za 100% widzialne</t>
    </r>
  </si>
  <si>
    <r>
      <t>3x100 InStream Video Ad (net net)</t>
    </r>
    <r>
      <rPr>
        <b/>
        <vertAlign val="superscript"/>
        <sz val="8"/>
        <color theme="0"/>
        <rFont val="Tahoma"/>
        <family val="2"/>
        <charset val="238"/>
      </rPr>
      <t>4, 6</t>
    </r>
  </si>
  <si>
    <r>
      <t>3x100 InStream Interactive Video Ad (net net)</t>
    </r>
    <r>
      <rPr>
        <b/>
        <vertAlign val="superscript"/>
        <sz val="8"/>
        <color theme="0"/>
        <rFont val="Tahoma"/>
        <family val="2"/>
        <charset val="238"/>
      </rPr>
      <t>4, 6</t>
    </r>
  </si>
  <si>
    <t>Outstream Video Ad CPM¹ (cena RC)</t>
  </si>
  <si>
    <t>Commercial Break</t>
  </si>
  <si>
    <t>Money.pl</t>
  </si>
  <si>
    <r>
      <t>Instream Video Ad vCPM (net net)</t>
    </r>
    <r>
      <rPr>
        <b/>
        <vertAlign val="superscript"/>
        <sz val="8"/>
        <color theme="0"/>
        <rFont val="Tahoma"/>
        <family val="2"/>
        <charset val="238"/>
      </rPr>
      <t>8</t>
    </r>
  </si>
  <si>
    <r>
      <t>0,06 PLN (0,07 PLN</t>
    </r>
    <r>
      <rPr>
        <vertAlign val="superscript"/>
        <sz val="8"/>
        <color theme="4" tint="-0.249977111117893"/>
        <rFont val="Tahoma"/>
        <family val="2"/>
        <charset val="238"/>
      </rPr>
      <t>5</t>
    </r>
    <r>
      <rPr>
        <sz val="8"/>
        <color theme="4" tint="-0.249977111117893"/>
        <rFont val="Tahoma"/>
        <family val="2"/>
        <charset val="238"/>
      </rPr>
      <t>)</t>
    </r>
  </si>
  <si>
    <r>
      <t>40 PLN (50 PLN</t>
    </r>
    <r>
      <rPr>
        <vertAlign val="superscript"/>
        <sz val="8"/>
        <color theme="4" tint="-0.249977111117893"/>
        <rFont val="Tahoma"/>
        <family val="2"/>
        <charset val="238"/>
      </rPr>
      <t>5</t>
    </r>
    <r>
      <rPr>
        <sz val="8"/>
        <color theme="4" tint="-0.249977111117893"/>
        <rFont val="Tahoma"/>
        <family val="2"/>
        <charset val="238"/>
      </rPr>
      <t>)</t>
    </r>
  </si>
  <si>
    <r>
      <t>60 PLN (70 PLN</t>
    </r>
    <r>
      <rPr>
        <vertAlign val="superscript"/>
        <sz val="8"/>
        <color theme="4" tint="-0.249977111117893"/>
        <rFont val="Tahoma"/>
        <family val="2"/>
        <charset val="238"/>
      </rPr>
      <t>5</t>
    </r>
    <r>
      <rPr>
        <sz val="8"/>
        <color theme="4" tint="-0.249977111117893"/>
        <rFont val="Tahoma"/>
        <family val="2"/>
        <charset val="238"/>
      </rPr>
      <t>)</t>
    </r>
  </si>
  <si>
    <r>
      <t>0,04 PLN (0,05 PLN</t>
    </r>
    <r>
      <rPr>
        <vertAlign val="superscript"/>
        <sz val="8"/>
        <color theme="4" tint="-0.249977111117893"/>
        <rFont val="Tahoma"/>
        <family val="2"/>
        <charset val="238"/>
      </rPr>
      <t>5</t>
    </r>
    <r>
      <rPr>
        <sz val="8"/>
        <color theme="4" tint="-0.249977111117893"/>
        <rFont val="Tahoma"/>
        <family val="2"/>
        <charset val="238"/>
      </rPr>
      <t>)</t>
    </r>
  </si>
  <si>
    <t>Banner skalowalny XL 1/uu + Banner skalowalny 2/uu</t>
  </si>
  <si>
    <t>Gigaboard 1/uu + Double Billboard/Wideboard 2/uu</t>
  </si>
  <si>
    <t>Double Billboard/Wideboard 3/uu</t>
  </si>
  <si>
    <t>Screening 1/uu + Double Billbard / Wideoboard 2/uu</t>
  </si>
  <si>
    <t>Message Box (mobile)</t>
  </si>
  <si>
    <r>
      <t>Instream Video Ad CPV (net net)</t>
    </r>
    <r>
      <rPr>
        <b/>
        <vertAlign val="superscript"/>
        <sz val="8"/>
        <color theme="0"/>
        <rFont val="Tahoma"/>
        <family val="2"/>
        <charset val="238"/>
      </rPr>
      <t>7, 9</t>
    </r>
  </si>
  <si>
    <r>
      <rPr>
        <vertAlign val="superscript"/>
        <sz val="8"/>
        <color theme="1"/>
        <rFont val="Tahoma"/>
        <family val="2"/>
        <charset val="238"/>
      </rPr>
      <t>9</t>
    </r>
    <r>
      <rPr>
        <sz val="8"/>
        <color theme="1"/>
        <rFont val="Tahoma"/>
        <family val="2"/>
        <charset val="238"/>
      </rPr>
      <t xml:space="preserve"> Dopłata za emisję w modelach vCPM i CPV na wybranych pakietch +30%</t>
    </r>
  </si>
  <si>
    <t>Dopłata za zwiększenie długości spotu w modelu vCPM i CPV powyżej standardowej długości</t>
  </si>
  <si>
    <t>do 35"</t>
  </si>
  <si>
    <t>+5%</t>
  </si>
  <si>
    <t>do 40"</t>
  </si>
  <si>
    <t>do 45"</t>
  </si>
  <si>
    <t>do 50"</t>
  </si>
  <si>
    <t>do 55"</t>
  </si>
  <si>
    <t>+40%</t>
  </si>
  <si>
    <t>WP Wroclaw</t>
  </si>
  <si>
    <t>WP Moto, Autokult, Autocentrum</t>
  </si>
  <si>
    <t>Autocentrum</t>
  </si>
  <si>
    <t>WP Finanse, Money</t>
  </si>
  <si>
    <t>Strona główna Poczty po zalogowaniu</t>
  </si>
  <si>
    <t>O2 (cross-device)</t>
  </si>
  <si>
    <t>PUDELEK (cross-device)</t>
  </si>
  <si>
    <t>Premium MOTO (cross-device)</t>
  </si>
  <si>
    <t>Premium BIZ/MOTO (cross-device)</t>
  </si>
  <si>
    <t>Money.pl, WP Finanse, Autocentrum, Autokult, WP Moto</t>
  </si>
  <si>
    <t>SG WP moduł MOTO, Autocentrum, Autokult, WP Moto</t>
  </si>
  <si>
    <t>Wylogowanie z Poczty WP i Poczty o2</t>
  </si>
  <si>
    <t>Poczta WPM Logout (desktop)</t>
  </si>
  <si>
    <t>BANNER SKALOWALNY XL, RECTANGLE</t>
  </si>
  <si>
    <t>BANNER SKALOWALNY, RECTANGLE</t>
  </si>
  <si>
    <t>³ Odsłony bez cappingu.</t>
  </si>
  <si>
    <t>² Content Box - emisja na SG WP. Możliwość emisji mega formatu po uwzględnieniu dopłaty zgodnie z cennikiem dopłat. Na stronie wyogowania z Poczty możliwość emsiji również formatów 970x200, 970x300, 970x600.</t>
  </si>
  <si>
    <t>Banner skalowalny 3/uu</t>
  </si>
  <si>
    <t>Banner skalowalny XL 1/uu + Banner skalowalny 2/uu²</t>
  </si>
  <si>
    <t>² istnieje możliwość emisji Bannera z tapetą na pierwszej odsłonie wyłącznie na SG Pudelek</t>
  </si>
  <si>
    <t>² istnieje możliwość emisji Bannera z tapetą na pierwszej odsłonie wyłącznie na SG o2</t>
  </si>
  <si>
    <t>polygamia.pl</t>
  </si>
  <si>
    <t>dzień</t>
  </si>
  <si>
    <t>PAUSE AD</t>
  </si>
  <si>
    <t>Praca.Money.pl</t>
  </si>
  <si>
    <t>Praca.money.pl</t>
  </si>
  <si>
    <t>Targetowanie WP Trapping (docieranie do użytkownika w konkretnych lokalizacjach, np. centra handlowe)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</si>
</sst>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zł&quot;;[Red]\-#,##0\ &quot;zł&quot;"/>
    <numFmt numFmtId="44" formatCode="_-* #,##0.00\ &quot;zł&quot;_-;\-* #,##0.00\ &quot;zł&quot;_-;_-* &quot;-&quot;??\ &quot;zł&quot;_-;_-@_-"/>
    <numFmt numFmtId="164" formatCode="_-* #,##0.00\ _z_ł_-;\-* #,##0.00\ _z_ł_-;_-* &quot;-&quot;??\ _z_ł_-;_-@_-"/>
    <numFmt numFmtId="165" formatCode="#,##0.00\ &quot;zł&quot;"/>
    <numFmt numFmtId="166" formatCode="#,##0\ &quot;zł&quot;"/>
    <numFmt numFmtId="167" formatCode="#,##0.0\ &quot;zł&quot;"/>
    <numFmt numFmtId="168" formatCode="#,##0%"/>
    <numFmt numFmtId="169" formatCode="#,##0&quot; &quot;[$zł-415]"/>
    <numFmt numFmtId="170" formatCode="#,##0\ [$PLN]"/>
    <numFmt numFmtId="171" formatCode="#,##0\ [$PLN];[Red]\-#,##0\ [$PLN]"/>
    <numFmt numFmtId="172" formatCode="#,##0.00\ [$PLN]"/>
    <numFmt numFmtId="173" formatCode="#,##0\ [$PLN];\-#,##0\ [$PLN]"/>
  </numFmts>
  <fonts count="84">
    <font>
      <sz val="11"/>
      <color theme="1"/>
      <name val="Calibri"/>
      <family val="2"/>
      <charset val="238"/>
      <scheme val="minor"/>
    </font>
    <font>
      <b/>
      <sz val="10"/>
      <color indexed="8"/>
      <name val="Tahoma"/>
      <family val="2"/>
    </font>
    <font>
      <sz val="10"/>
      <color indexed="8"/>
      <name val="Tahoma"/>
      <family val="2"/>
    </font>
    <font>
      <sz val="10"/>
      <name val="Tahoma"/>
      <family val="2"/>
    </font>
    <font>
      <b/>
      <sz val="8"/>
      <color indexed="8"/>
      <name val="Tahoma"/>
      <family val="2"/>
    </font>
    <font>
      <b/>
      <sz val="10"/>
      <name val="Calibri"/>
      <family val="2"/>
    </font>
    <font>
      <sz val="10"/>
      <name val="Calibri"/>
      <family val="2"/>
    </font>
    <font>
      <sz val="10"/>
      <name val="Arial"/>
      <family val="2"/>
    </font>
    <font>
      <b/>
      <sz val="10"/>
      <name val="Arial"/>
      <family val="2"/>
    </font>
    <font>
      <sz val="11"/>
      <color indexed="8"/>
      <name val="Helvetica Neue"/>
    </font>
    <font>
      <sz val="10"/>
      <color indexed="8"/>
      <name val="Arial"/>
      <family val="2"/>
    </font>
    <font>
      <b/>
      <sz val="10"/>
      <color indexed="9"/>
      <name val="Tahoma"/>
      <family val="2"/>
    </font>
    <font>
      <sz val="11"/>
      <color indexed="8"/>
      <name val="Trebuchet MS"/>
      <family val="2"/>
    </font>
    <font>
      <sz val="12"/>
      <color indexed="8"/>
      <name val="Verdana"/>
      <family val="2"/>
    </font>
    <font>
      <sz val="12"/>
      <color indexed="8"/>
      <name val="Verdana"/>
      <family val="2"/>
    </font>
    <font>
      <sz val="12"/>
      <color indexed="8"/>
      <name val="Verdana"/>
      <family val="2"/>
      <charset val="238"/>
    </font>
    <font>
      <sz val="8"/>
      <color indexed="8"/>
      <name val="Tahoma"/>
      <family val="2"/>
    </font>
    <font>
      <sz val="8"/>
      <color indexed="8"/>
      <name val="Tahoma"/>
      <family val="2"/>
      <charset val="238"/>
    </font>
    <font>
      <b/>
      <vertAlign val="superscript"/>
      <sz val="8"/>
      <color indexed="9"/>
      <name val="Tahoma"/>
      <family val="2"/>
      <charset val="238"/>
    </font>
    <font>
      <sz val="8"/>
      <name val="Tahoma"/>
      <family val="2"/>
    </font>
    <font>
      <vertAlign val="superscript"/>
      <sz val="8"/>
      <color indexed="8"/>
      <name val="Tahoma"/>
      <family val="2"/>
    </font>
    <font>
      <b/>
      <sz val="8"/>
      <color indexed="9"/>
      <name val="Tahoma"/>
      <family val="2"/>
    </font>
    <font>
      <b/>
      <sz val="8"/>
      <name val="Tahoma"/>
      <family val="2"/>
    </font>
    <font>
      <sz val="8"/>
      <name val="Tahoma"/>
      <family val="2"/>
      <charset val="238"/>
    </font>
    <font>
      <sz val="11"/>
      <color theme="1"/>
      <name val="Calibri"/>
      <family val="2"/>
      <charset val="238"/>
      <scheme val="minor"/>
    </font>
    <font>
      <sz val="11"/>
      <color theme="1"/>
      <name val="Calibri"/>
      <family val="2"/>
      <scheme val="minor"/>
    </font>
    <font>
      <u/>
      <sz val="11"/>
      <color theme="10"/>
      <name val="Calibri"/>
      <family val="2"/>
      <charset val="238"/>
      <scheme val="minor"/>
    </font>
    <font>
      <u/>
      <sz val="11"/>
      <color theme="10"/>
      <name val="Calibri"/>
      <family val="2"/>
      <scheme val="minor"/>
    </font>
    <font>
      <sz val="10"/>
      <color rgb="FF000000"/>
      <name val="Arial"/>
      <family val="2"/>
      <charset val="238"/>
    </font>
    <font>
      <b/>
      <sz val="11"/>
      <color theme="1"/>
      <name val="Calibri"/>
      <family val="2"/>
      <charset val="238"/>
      <scheme val="minor"/>
    </font>
    <font>
      <sz val="10"/>
      <color theme="1"/>
      <name val="Tahoma"/>
      <family val="2"/>
    </font>
    <font>
      <sz val="10"/>
      <color rgb="FF000000"/>
      <name val="Tahoma"/>
      <family val="2"/>
    </font>
    <font>
      <b/>
      <sz val="10"/>
      <color theme="0"/>
      <name val="Tahoma"/>
      <family val="2"/>
    </font>
    <font>
      <b/>
      <sz val="10"/>
      <color rgb="FFFFFFFF"/>
      <name val="Tahoma"/>
      <family val="2"/>
    </font>
    <font>
      <sz val="8"/>
      <color theme="1"/>
      <name val="Tahoma"/>
      <family val="2"/>
    </font>
    <font>
      <b/>
      <sz val="10"/>
      <color theme="1"/>
      <name val="Tahoma"/>
      <family val="2"/>
    </font>
    <font>
      <sz val="12"/>
      <color theme="1"/>
      <name val="Tahoma"/>
      <family val="2"/>
    </font>
    <font>
      <sz val="11"/>
      <color indexed="8"/>
      <name val="Calibri"/>
      <family val="2"/>
      <scheme val="minor"/>
    </font>
    <font>
      <sz val="10"/>
      <color rgb="FF1F497D"/>
      <name val="Tahoma"/>
      <family val="2"/>
    </font>
    <font>
      <b/>
      <sz val="10"/>
      <color theme="5"/>
      <name val="Tahoma"/>
      <family val="2"/>
    </font>
    <font>
      <sz val="10"/>
      <color theme="5"/>
      <name val="Tahoma"/>
      <family val="2"/>
    </font>
    <font>
      <sz val="10"/>
      <color theme="0"/>
      <name val="Tahoma"/>
      <family val="2"/>
    </font>
    <font>
      <sz val="10"/>
      <color theme="1"/>
      <name val="Tahoma"/>
      <family val="2"/>
      <charset val="238"/>
    </font>
    <font>
      <b/>
      <sz val="10"/>
      <color rgb="FF002060"/>
      <name val="Tahoma"/>
      <family val="2"/>
    </font>
    <font>
      <sz val="10"/>
      <color theme="0" tint="-0.14999847407452621"/>
      <name val="Tahoma"/>
      <family val="2"/>
    </font>
    <font>
      <b/>
      <sz val="8"/>
      <color theme="0"/>
      <name val="Tahoma"/>
      <family val="2"/>
    </font>
    <font>
      <b/>
      <sz val="10"/>
      <color theme="1"/>
      <name val="Tahoma"/>
      <family val="2"/>
      <charset val="238"/>
    </font>
    <font>
      <sz val="8"/>
      <color theme="1"/>
      <name val="Tahoma"/>
      <family val="2"/>
      <charset val="238"/>
    </font>
    <font>
      <b/>
      <sz val="8"/>
      <color rgb="FF002060"/>
      <name val="Tahoma"/>
      <family val="2"/>
    </font>
    <font>
      <sz val="8"/>
      <color rgb="FFC00000"/>
      <name val="Tahoma"/>
      <family val="2"/>
    </font>
    <font>
      <b/>
      <sz val="8"/>
      <color theme="1"/>
      <name val="Tahoma"/>
      <family val="2"/>
    </font>
    <font>
      <sz val="8"/>
      <color rgb="FF000000"/>
      <name val="Tahoma"/>
      <family val="2"/>
    </font>
    <font>
      <b/>
      <sz val="8"/>
      <color theme="0"/>
      <name val="Tahoma"/>
      <family val="2"/>
      <charset val="238"/>
    </font>
    <font>
      <sz val="8"/>
      <color theme="0"/>
      <name val="Tahoma"/>
      <family val="2"/>
    </font>
    <font>
      <b/>
      <sz val="8"/>
      <color theme="0" tint="-0.14999847407452621"/>
      <name val="Tahoma"/>
      <family val="2"/>
    </font>
    <font>
      <b/>
      <sz val="8"/>
      <color rgb="FFFFFFFF"/>
      <name val="Tahoma"/>
      <family val="2"/>
    </font>
    <font>
      <sz val="8"/>
      <color theme="1"/>
      <name val="Calibri"/>
      <family val="2"/>
      <charset val="238"/>
      <scheme val="minor"/>
    </font>
    <font>
      <b/>
      <sz val="8"/>
      <color theme="0" tint="-0.249977111117893"/>
      <name val="Tahoma"/>
      <family val="2"/>
    </font>
    <font>
      <b/>
      <sz val="8"/>
      <color rgb="FFFF0000"/>
      <name val="Tahoma"/>
      <family val="2"/>
      <charset val="238"/>
    </font>
    <font>
      <sz val="12"/>
      <color theme="1"/>
      <name val="Tahoma"/>
      <family val="2"/>
      <charset val="238"/>
    </font>
    <font>
      <i/>
      <sz val="8"/>
      <color theme="1"/>
      <name val="Tahoma"/>
      <family val="2"/>
      <charset val="238"/>
    </font>
    <font>
      <b/>
      <sz val="8"/>
      <color theme="0" tint="-0.34998626667073579"/>
      <name val="Tahoma"/>
      <family val="2"/>
      <charset val="238"/>
    </font>
    <font>
      <b/>
      <sz val="8"/>
      <color theme="1"/>
      <name val="Tahoma"/>
      <family val="2"/>
      <charset val="238"/>
    </font>
    <font>
      <sz val="11"/>
      <color rgb="FF1F497D"/>
      <name val="Corbel"/>
      <family val="2"/>
      <charset val="238"/>
    </font>
    <font>
      <b/>
      <sz val="8"/>
      <color indexed="8"/>
      <name val="Tahoma"/>
      <family val="2"/>
      <charset val="238"/>
    </font>
    <font>
      <b/>
      <sz val="8"/>
      <name val="Tahoma"/>
      <family val="2"/>
      <charset val="238"/>
    </font>
    <font>
      <sz val="9"/>
      <color indexed="81"/>
      <name val="Tahoma"/>
      <family val="2"/>
      <charset val="238"/>
    </font>
    <font>
      <b/>
      <sz val="9"/>
      <color indexed="81"/>
      <name val="Tahoma"/>
      <family val="2"/>
      <charset val="238"/>
    </font>
    <font>
      <vertAlign val="superscript"/>
      <sz val="8"/>
      <color theme="1"/>
      <name val="Tahoma"/>
      <family val="2"/>
      <charset val="238"/>
    </font>
    <font>
      <b/>
      <vertAlign val="superscript"/>
      <sz val="8"/>
      <color theme="0"/>
      <name val="Tahoma"/>
      <family val="2"/>
      <charset val="238"/>
    </font>
    <font>
      <sz val="8"/>
      <color theme="0" tint="-0.499984740745262"/>
      <name val="Tahoma"/>
      <family val="2"/>
    </font>
    <font>
      <sz val="8"/>
      <color theme="0" tint="-0.499984740745262"/>
      <name val="Tahoma"/>
      <family val="2"/>
      <charset val="238"/>
    </font>
    <font>
      <b/>
      <sz val="7"/>
      <color theme="0"/>
      <name val="Tahoma"/>
      <family val="2"/>
      <charset val="238"/>
    </font>
    <font>
      <sz val="8"/>
      <color rgb="FF000000"/>
      <name val="Tahoma"/>
      <family val="2"/>
      <charset val="238"/>
    </font>
    <font>
      <vertAlign val="superscript"/>
      <sz val="8"/>
      <color rgb="FF000000"/>
      <name val="Tahoma"/>
      <family val="2"/>
      <charset val="238"/>
    </font>
    <font>
      <b/>
      <u/>
      <sz val="11"/>
      <color theme="0"/>
      <name val="Calibri"/>
      <family val="2"/>
      <charset val="238"/>
      <scheme val="minor"/>
    </font>
    <font>
      <sz val="10"/>
      <color theme="0" tint="-0.499984740745262"/>
      <name val="Tahoma"/>
      <family val="2"/>
    </font>
    <font>
      <sz val="11"/>
      <color theme="0" tint="-0.499984740745262"/>
      <name val="Calibri"/>
      <family val="2"/>
      <charset val="238"/>
      <scheme val="minor"/>
    </font>
    <font>
      <sz val="10"/>
      <color theme="0" tint="-0.499984740745262"/>
      <name val="Arial"/>
      <family val="2"/>
    </font>
    <font>
      <b/>
      <sz val="8"/>
      <color theme="0" tint="-0.499984740745262"/>
      <name val="Tahoma"/>
      <family val="2"/>
      <charset val="238"/>
    </font>
    <font>
      <sz val="8"/>
      <color theme="4" tint="-0.249977111117893"/>
      <name val="Tahoma"/>
      <family val="2"/>
    </font>
    <font>
      <sz val="8"/>
      <color theme="4" tint="-0.249977111117893"/>
      <name val="Tahoma"/>
      <family val="2"/>
      <charset val="238"/>
    </font>
    <font>
      <vertAlign val="superscript"/>
      <sz val="8"/>
      <color theme="4" tint="-0.249977111117893"/>
      <name val="Tahoma"/>
      <family val="2"/>
      <charset val="238"/>
    </font>
    <font>
      <sz val="8"/>
      <color theme="3"/>
      <name val="Tahoma"/>
      <family val="2"/>
      <charset val="238"/>
    </font>
  </fonts>
  <fills count="27">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31"/>
      </patternFill>
    </fill>
    <fill>
      <patternFill patternType="solid">
        <fgColor theme="0"/>
        <bgColor indexed="26"/>
      </patternFill>
    </fill>
    <fill>
      <patternFill patternType="solid">
        <fgColor theme="0"/>
        <bgColor indexed="44"/>
      </patternFill>
    </fill>
    <fill>
      <patternFill patternType="solid">
        <fgColor rgb="FFC00000"/>
        <bgColor indexed="64"/>
      </patternFill>
    </fill>
    <fill>
      <patternFill patternType="solid">
        <fgColor rgb="FFFFFFFF"/>
        <bgColor indexed="64"/>
      </patternFill>
    </fill>
    <fill>
      <patternFill patternType="solid">
        <fgColor theme="0"/>
        <bgColor indexed="27"/>
      </patternFill>
    </fill>
    <fill>
      <patternFill patternType="solid">
        <fgColor theme="0"/>
        <bgColor indexed="9"/>
      </patternFill>
    </fill>
    <fill>
      <patternFill patternType="solid">
        <fgColor theme="0" tint="-4.9989318521683403E-2"/>
        <bgColor indexed="64"/>
      </patternFill>
    </fill>
    <fill>
      <patternFill patternType="solid">
        <fgColor rgb="FF00A249"/>
        <bgColor indexed="64"/>
      </patternFill>
    </fill>
    <fill>
      <patternFill patternType="solid">
        <fgColor rgb="FFC00000"/>
        <bgColor theme="0"/>
      </patternFill>
    </fill>
    <fill>
      <patternFill patternType="solid">
        <fgColor theme="6" tint="0.79998168889431442"/>
        <bgColor indexed="64"/>
      </patternFill>
    </fill>
    <fill>
      <patternFill patternType="solid">
        <fgColor theme="1" tint="0.149998474074526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DC92CC"/>
        <bgColor indexed="64"/>
      </patternFill>
    </fill>
    <fill>
      <patternFill patternType="solid">
        <fgColor rgb="FF7030A0"/>
        <bgColor indexed="64"/>
      </patternFill>
    </fill>
    <fill>
      <patternFill patternType="solid">
        <fgColor theme="4" tint="0.79998168889431442"/>
        <bgColor indexed="64"/>
      </patternFill>
    </fill>
    <fill>
      <patternFill patternType="solid">
        <fgColor rgb="FF635AD8"/>
        <bgColor indexed="64"/>
      </patternFill>
    </fill>
    <fill>
      <patternFill patternType="lightUp">
        <fgColor theme="0" tint="-0.14996795556505021"/>
        <bgColor theme="0"/>
      </patternFill>
    </fill>
    <fill>
      <patternFill patternType="lightUp">
        <fgColor theme="0" tint="-0.14996795556505021"/>
        <bgColor indexed="65"/>
      </patternFill>
    </fill>
  </fills>
  <borders count="132">
    <border>
      <left/>
      <right/>
      <top/>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rgb="FFC00000"/>
      </right>
      <top/>
      <bottom/>
      <diagonal/>
    </border>
    <border>
      <left/>
      <right/>
      <top/>
      <bottom style="thin">
        <color rgb="FFC00000"/>
      </bottom>
      <diagonal/>
    </border>
    <border>
      <left/>
      <right style="thin">
        <color theme="0" tint="-4.9989318521683403E-2"/>
      </right>
      <top/>
      <bottom/>
      <diagonal/>
    </border>
    <border>
      <left/>
      <right style="thin">
        <color theme="0" tint="-4.9989318521683403E-2"/>
      </right>
      <top style="thin">
        <color indexed="64"/>
      </top>
      <bottom/>
      <diagonal/>
    </border>
    <border>
      <left style="thin">
        <color indexed="64"/>
      </left>
      <right style="thin">
        <color indexed="64"/>
      </right>
      <top style="thin">
        <color rgb="FFC00000"/>
      </top>
      <bottom style="hair">
        <color indexed="64"/>
      </bottom>
      <diagonal/>
    </border>
    <border>
      <left style="thin">
        <color indexed="64"/>
      </left>
      <right/>
      <top style="thin">
        <color rgb="FFC00000"/>
      </top>
      <bottom style="hair">
        <color indexed="64"/>
      </bottom>
      <diagonal/>
    </border>
    <border>
      <left/>
      <right style="thin">
        <color indexed="64"/>
      </right>
      <top style="thin">
        <color rgb="FFC00000"/>
      </top>
      <bottom style="hair">
        <color indexed="64"/>
      </bottom>
      <diagonal/>
    </border>
    <border>
      <left/>
      <right/>
      <top style="thin">
        <color rgb="FFC00000"/>
      </top>
      <bottom/>
      <diagonal/>
    </border>
    <border>
      <left/>
      <right style="thin">
        <color rgb="FFC00000"/>
      </right>
      <top style="thin">
        <color rgb="FFC00000"/>
      </top>
      <bottom/>
      <diagonal/>
    </border>
    <border>
      <left/>
      <right/>
      <top style="thin">
        <color theme="0"/>
      </top>
      <bottom style="thin">
        <color theme="0"/>
      </bottom>
      <diagonal/>
    </border>
    <border>
      <left/>
      <right style="thin">
        <color rgb="FF00B050"/>
      </right>
      <top/>
      <bottom/>
      <diagonal/>
    </border>
    <border>
      <left/>
      <right style="thin">
        <color theme="1"/>
      </right>
      <top/>
      <bottom style="thin">
        <color indexed="64"/>
      </bottom>
      <diagonal/>
    </border>
    <border>
      <left/>
      <right/>
      <top style="thin">
        <color theme="4" tint="0.79998168889431442"/>
      </top>
      <bottom/>
      <diagonal/>
    </border>
    <border>
      <left/>
      <right style="thin">
        <color rgb="FFC00000"/>
      </right>
      <top/>
      <bottom style="thin">
        <color rgb="FFC00000"/>
      </bottom>
      <diagonal/>
    </border>
    <border>
      <left style="thin">
        <color rgb="FFC00000"/>
      </left>
      <right style="thin">
        <color rgb="FFC00000"/>
      </right>
      <top/>
      <bottom/>
      <diagonal/>
    </border>
    <border>
      <left/>
      <right style="thin">
        <color rgb="FFC00000"/>
      </right>
      <top/>
      <bottom style="thin">
        <color theme="0"/>
      </bottom>
      <diagonal/>
    </border>
    <border>
      <left style="thin">
        <color rgb="FFC00000"/>
      </left>
      <right style="thin">
        <color rgb="FFC00000"/>
      </right>
      <top/>
      <bottom style="thin">
        <color theme="0"/>
      </bottom>
      <diagonal/>
    </border>
    <border>
      <left style="thin">
        <color rgb="FFC00000"/>
      </left>
      <right/>
      <top/>
      <bottom style="thin">
        <color theme="0"/>
      </bottom>
      <diagonal/>
    </border>
    <border>
      <left/>
      <right/>
      <top style="thin">
        <color theme="0"/>
      </top>
      <bottom style="thin">
        <color rgb="FFC00000"/>
      </bottom>
      <diagonal/>
    </border>
    <border>
      <left/>
      <right/>
      <top/>
      <bottom style="thin">
        <color theme="0"/>
      </bottom>
      <diagonal/>
    </border>
    <border>
      <left/>
      <right style="thick">
        <color rgb="FFFF0000"/>
      </right>
      <top/>
      <bottom/>
      <diagonal/>
    </border>
    <border>
      <left/>
      <right/>
      <top/>
      <bottom style="thick">
        <color rgb="FFFF0000"/>
      </bottom>
      <diagonal/>
    </border>
    <border>
      <left/>
      <right/>
      <top style="thick">
        <color rgb="FFFF0000"/>
      </top>
      <bottom/>
      <diagonal/>
    </border>
    <border>
      <left/>
      <right style="thick">
        <color rgb="FFFF0000"/>
      </right>
      <top style="thick">
        <color rgb="FFFF0000"/>
      </top>
      <bottom/>
      <diagonal/>
    </border>
    <border>
      <left/>
      <right style="thin">
        <color theme="2"/>
      </right>
      <top/>
      <bottom/>
      <diagonal/>
    </border>
    <border>
      <left/>
      <right style="thin">
        <color indexed="64"/>
      </right>
      <top style="thin">
        <color theme="0"/>
      </top>
      <bottom style="thin">
        <color indexed="64"/>
      </bottom>
      <diagonal/>
    </border>
    <border>
      <left/>
      <right style="thin">
        <color indexed="64"/>
      </right>
      <top/>
      <bottom style="thin">
        <color theme="0"/>
      </bottom>
      <diagonal/>
    </border>
    <border>
      <left/>
      <right/>
      <top style="thin">
        <color rgb="FFC00000"/>
      </top>
      <bottom style="hair">
        <color indexed="64"/>
      </bottom>
      <diagonal/>
    </border>
    <border>
      <left/>
      <right style="thin">
        <color indexed="64"/>
      </right>
      <top style="thin">
        <color theme="0"/>
      </top>
      <bottom/>
      <diagonal/>
    </border>
    <border>
      <left/>
      <right style="thin">
        <color theme="5" tint="0.39997558519241921"/>
      </right>
      <top/>
      <bottom/>
      <diagonal/>
    </border>
    <border>
      <left/>
      <right style="thin">
        <color rgb="FF7030A0"/>
      </right>
      <top/>
      <bottom/>
      <diagonal/>
    </border>
    <border>
      <left/>
      <right style="thin">
        <color rgb="FF7030A0"/>
      </right>
      <top/>
      <bottom style="thin">
        <color theme="7" tint="-0.249977111117893"/>
      </bottom>
      <diagonal/>
    </border>
    <border>
      <left/>
      <right/>
      <top/>
      <bottom style="thin">
        <color theme="7" tint="-0.249977111117893"/>
      </bottom>
      <diagonal/>
    </border>
    <border>
      <left/>
      <right style="thin">
        <color indexed="64"/>
      </right>
      <top/>
      <bottom style="thin">
        <color theme="4" tint="0.79998168889431442"/>
      </bottom>
      <diagonal/>
    </border>
    <border>
      <left/>
      <right/>
      <top style="thin">
        <color rgb="FFC00000"/>
      </top>
      <bottom style="thin">
        <color rgb="FFC00000"/>
      </bottom>
      <diagonal/>
    </border>
    <border>
      <left/>
      <right/>
      <top style="thin">
        <color rgb="FFC00000"/>
      </top>
      <bottom style="thin">
        <color theme="0"/>
      </bottom>
      <diagonal/>
    </border>
    <border>
      <left/>
      <right style="thin">
        <color rgb="FFC00000"/>
      </right>
      <top style="thin">
        <color rgb="FFC00000"/>
      </top>
      <bottom style="thin">
        <color theme="0"/>
      </bottom>
      <diagonal/>
    </border>
    <border>
      <left style="thin">
        <color rgb="FFC00000"/>
      </left>
      <right/>
      <top/>
      <bottom/>
      <diagonal/>
    </border>
    <border>
      <left style="thin">
        <color rgb="FFC00000"/>
      </left>
      <right/>
      <top style="thin">
        <color rgb="FFC00000"/>
      </top>
      <bottom/>
      <diagonal/>
    </border>
    <border>
      <left/>
      <right style="thin">
        <color theme="2"/>
      </right>
      <top style="thick">
        <color rgb="FFFF0000"/>
      </top>
      <bottom/>
      <diagonal/>
    </border>
    <border>
      <left/>
      <right style="thin">
        <color theme="2"/>
      </right>
      <top/>
      <bottom style="thin">
        <color theme="0"/>
      </bottom>
      <diagonal/>
    </border>
    <border>
      <left/>
      <right style="thick">
        <color rgb="FFFF0000"/>
      </right>
      <top/>
      <bottom style="thin">
        <color indexed="64"/>
      </bottom>
      <diagonal/>
    </border>
    <border>
      <left style="thin">
        <color theme="2"/>
      </left>
      <right/>
      <top/>
      <bottom/>
      <diagonal/>
    </border>
    <border>
      <left style="thin">
        <color theme="2"/>
      </left>
      <right/>
      <top style="thin">
        <color rgb="FFC00000"/>
      </top>
      <bottom/>
      <diagonal/>
    </border>
    <border>
      <left/>
      <right style="thin">
        <color theme="2"/>
      </right>
      <top style="thin">
        <color rgb="FFC00000"/>
      </top>
      <bottom/>
      <diagonal/>
    </border>
    <border>
      <left/>
      <right/>
      <top style="thin">
        <color theme="0"/>
      </top>
      <bottom/>
      <diagonal/>
    </border>
    <border>
      <left/>
      <right/>
      <top style="thin">
        <color indexed="64"/>
      </top>
      <bottom style="thin">
        <color theme="0"/>
      </bottom>
      <diagonal/>
    </border>
    <border>
      <left style="thin">
        <color indexed="64"/>
      </left>
      <right style="thin">
        <color rgb="FFC00000"/>
      </right>
      <top/>
      <bottom/>
      <diagonal/>
    </border>
    <border>
      <left/>
      <right style="thin">
        <color rgb="FFC00000"/>
      </right>
      <top/>
      <bottom style="thin">
        <color indexed="64"/>
      </bottom>
      <diagonal/>
    </border>
    <border>
      <left/>
      <right style="thin">
        <color rgb="FFC00000"/>
      </right>
      <top style="thin">
        <color indexed="64"/>
      </top>
      <bottom style="thin">
        <color theme="0"/>
      </bottom>
      <diagonal/>
    </border>
    <border>
      <left style="thin">
        <color theme="0"/>
      </left>
      <right/>
      <top/>
      <bottom/>
      <diagonal/>
    </border>
    <border>
      <left style="thin">
        <color indexed="64"/>
      </left>
      <right/>
      <top style="thin">
        <color rgb="FFC00000"/>
      </top>
      <bottom style="thin">
        <color indexed="64"/>
      </bottom>
      <diagonal/>
    </border>
    <border>
      <left/>
      <right style="thin">
        <color indexed="64"/>
      </right>
      <top style="thin">
        <color rgb="FFC00000"/>
      </top>
      <bottom style="thin">
        <color indexed="64"/>
      </bottom>
      <diagonal/>
    </border>
    <border>
      <left/>
      <right style="thin">
        <color indexed="64"/>
      </right>
      <top/>
      <bottom style="thin">
        <color theme="2"/>
      </bottom>
      <diagonal/>
    </border>
    <border>
      <left style="thin">
        <color indexed="64"/>
      </left>
      <right/>
      <top style="thin">
        <color theme="0"/>
      </top>
      <bottom style="hair">
        <color indexed="64"/>
      </bottom>
      <diagonal/>
    </border>
    <border>
      <left/>
      <right style="thin">
        <color indexed="64"/>
      </right>
      <top style="thin">
        <color theme="0"/>
      </top>
      <bottom style="hair">
        <color indexed="64"/>
      </bottom>
      <diagonal/>
    </border>
    <border>
      <left/>
      <right/>
      <top style="thin">
        <color theme="2"/>
      </top>
      <bottom style="thin">
        <color theme="0"/>
      </bottom>
      <diagonal/>
    </border>
    <border>
      <left style="thin">
        <color theme="1"/>
      </left>
      <right/>
      <top/>
      <bottom style="thin">
        <color indexed="64"/>
      </bottom>
      <diagonal/>
    </border>
    <border>
      <left style="thick">
        <color rgb="FFFF0000"/>
      </left>
      <right/>
      <top/>
      <bottom/>
      <diagonal/>
    </border>
    <border>
      <left/>
      <right/>
      <top style="thin">
        <color theme="6" tint="0.79998168889431442"/>
      </top>
      <bottom/>
      <diagonal/>
    </border>
    <border>
      <left/>
      <right style="thin">
        <color theme="1" tint="0.14999847407452621"/>
      </right>
      <top style="thin">
        <color indexed="64"/>
      </top>
      <bottom/>
      <diagonal/>
    </border>
    <border>
      <left/>
      <right style="thin">
        <color rgb="FF635AD8"/>
      </right>
      <top/>
      <bottom/>
      <diagonal/>
    </border>
    <border>
      <left style="thin">
        <color indexed="64"/>
      </left>
      <right style="hair">
        <color indexed="64"/>
      </right>
      <top style="thin">
        <color theme="0"/>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theme="0"/>
      </top>
      <bottom style="thin">
        <color indexed="64"/>
      </bottom>
      <diagonal/>
    </border>
    <border>
      <left style="hair">
        <color indexed="64"/>
      </left>
      <right style="hair">
        <color indexed="64"/>
      </right>
      <top style="thin">
        <color theme="0"/>
      </top>
      <bottom style="thin">
        <color indexed="64"/>
      </bottom>
      <diagonal/>
    </border>
    <border>
      <left style="hair">
        <color indexed="64"/>
      </left>
      <right style="hair">
        <color indexed="64"/>
      </right>
      <top style="thin">
        <color indexed="64"/>
      </top>
      <bottom style="thin">
        <color indexed="64"/>
      </bottom>
      <diagonal/>
    </border>
    <border>
      <left/>
      <right/>
      <top style="thin">
        <color theme="0"/>
      </top>
      <bottom style="thin">
        <color theme="6" tint="0.79998168889431442"/>
      </bottom>
      <diagonal/>
    </border>
    <border>
      <left/>
      <right/>
      <top/>
      <bottom style="thin">
        <color theme="6" tint="0.79998168889431442"/>
      </bottom>
      <diagonal/>
    </border>
    <border>
      <left style="thin">
        <color indexed="64"/>
      </left>
      <right style="thin">
        <color indexed="64"/>
      </right>
      <top style="thin">
        <color rgb="FFC00000"/>
      </top>
      <bottom style="thin">
        <color indexed="64"/>
      </bottom>
      <diagonal/>
    </border>
    <border>
      <left style="thin">
        <color indexed="64"/>
      </left>
      <right style="thin">
        <color indexed="64"/>
      </right>
      <top style="thin">
        <color rgb="FFC00000"/>
      </top>
      <bottom/>
      <diagonal/>
    </border>
    <border>
      <left style="thick">
        <color rgb="FFFF0000"/>
      </left>
      <right/>
      <top/>
      <bottom style="thick">
        <color rgb="FFFF0000"/>
      </bottom>
      <diagonal/>
    </border>
    <border>
      <left style="thick">
        <color rgb="FFFF0000"/>
      </left>
      <right/>
      <top style="thin">
        <color theme="0"/>
      </top>
      <bottom/>
      <diagonal/>
    </border>
    <border>
      <left style="thick">
        <color rgb="FFFF0000"/>
      </left>
      <right/>
      <top/>
      <bottom style="thin">
        <color theme="0"/>
      </bottom>
      <diagonal/>
    </border>
    <border>
      <left/>
      <right style="thick">
        <color rgb="FFFF0000"/>
      </right>
      <top/>
      <bottom style="hair">
        <color indexed="64"/>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n">
        <color theme="2"/>
      </left>
      <right/>
      <top style="thick">
        <color rgb="FFFF0000"/>
      </top>
      <bottom/>
      <diagonal/>
    </border>
    <border>
      <left style="thin">
        <color rgb="FFC00000"/>
      </left>
      <right style="thin">
        <color indexed="64"/>
      </right>
      <top/>
      <bottom/>
      <diagonal/>
    </border>
    <border>
      <left style="thin">
        <color indexed="64"/>
      </left>
      <right style="hair">
        <color indexed="64"/>
      </right>
      <top style="thin">
        <color theme="0"/>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theme="0"/>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rgb="FFFF0000"/>
      </left>
      <right/>
      <top style="thin">
        <color theme="0"/>
      </top>
      <bottom style="thin">
        <color theme="0"/>
      </bottom>
      <diagonal/>
    </border>
    <border>
      <left/>
      <right style="thick">
        <color rgb="FFFF0000"/>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top/>
      <bottom style="thin">
        <color theme="2"/>
      </bottom>
      <diagonal/>
    </border>
    <border>
      <left/>
      <right/>
      <top style="thin">
        <color theme="2"/>
      </top>
      <bottom/>
      <diagonal/>
    </border>
    <border>
      <left/>
      <right style="thin">
        <color indexed="64"/>
      </right>
      <top/>
      <bottom style="thick">
        <color rgb="FFFF0000"/>
      </bottom>
      <diagonal/>
    </border>
  </borders>
  <cellStyleXfs count="39">
    <xf numFmtId="0" fontId="0" fillId="0" borderId="0"/>
    <xf numFmtId="164"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4" fillId="0" borderId="0"/>
    <xf numFmtId="0" fontId="25" fillId="0" borderId="0"/>
    <xf numFmtId="0" fontId="24" fillId="0" borderId="0"/>
    <xf numFmtId="0" fontId="28" fillId="0" borderId="0"/>
    <xf numFmtId="0" fontId="25" fillId="0" borderId="0"/>
    <xf numFmtId="0" fontId="9" fillId="0" borderId="0">
      <alignment vertical="top"/>
    </xf>
    <xf numFmtId="0" fontId="28" fillId="0" borderId="0"/>
    <xf numFmtId="0" fontId="28" fillId="0" borderId="0"/>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4" fillId="0" borderId="0" applyNumberFormat="0" applyFill="0" applyBorder="0" applyProtection="0">
      <alignment vertical="top" wrapText="1"/>
    </xf>
    <xf numFmtId="0" fontId="13" fillId="0" borderId="0" applyNumberFormat="0" applyFill="0" applyBorder="0" applyProtection="0">
      <alignment vertical="top" wrapText="1"/>
    </xf>
    <xf numFmtId="0" fontId="15" fillId="0" borderId="0" applyNumberFormat="0" applyFill="0" applyBorder="0" applyProtection="0">
      <alignment vertical="top" wrapText="1"/>
    </xf>
    <xf numFmtId="0" fontId="15" fillId="0" borderId="0" applyNumberFormat="0" applyFill="0" applyBorder="0" applyProtection="0">
      <alignment vertical="top" wrapText="1"/>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cellStyleXfs>
  <cellXfs count="1150">
    <xf numFmtId="0" fontId="0" fillId="0" borderId="0" xfId="0"/>
    <xf numFmtId="0" fontId="30" fillId="4" borderId="0" xfId="0" applyFont="1" applyFill="1" applyAlignment="1">
      <alignment horizontal="center" vertical="center"/>
    </xf>
    <xf numFmtId="0" fontId="30" fillId="4" borderId="0" xfId="0" applyFont="1" applyFill="1"/>
    <xf numFmtId="0" fontId="30" fillId="4" borderId="0" xfId="0" applyFont="1" applyFill="1" applyBorder="1"/>
    <xf numFmtId="0" fontId="30" fillId="4" borderId="0" xfId="0" applyFont="1" applyFill="1" applyAlignment="1">
      <alignment vertical="center"/>
    </xf>
    <xf numFmtId="6" fontId="30" fillId="4" borderId="0" xfId="0" applyNumberFormat="1" applyFont="1" applyFill="1" applyBorder="1" applyAlignment="1">
      <alignment horizontal="center" vertical="center" wrapText="1"/>
    </xf>
    <xf numFmtId="0" fontId="31" fillId="4" borderId="0" xfId="0" applyFont="1" applyFill="1" applyBorder="1" applyAlignment="1">
      <alignment horizontal="center" vertical="center" wrapText="1"/>
    </xf>
    <xf numFmtId="0" fontId="32" fillId="4" borderId="0" xfId="0" applyFont="1" applyFill="1" applyBorder="1" applyAlignment="1">
      <alignment vertical="center" wrapText="1"/>
    </xf>
    <xf numFmtId="0" fontId="32" fillId="4" borderId="0" xfId="0" applyFont="1" applyFill="1" applyBorder="1" applyAlignment="1">
      <alignment vertical="top" wrapText="1"/>
    </xf>
    <xf numFmtId="0" fontId="30" fillId="4" borderId="0" xfId="0" applyFont="1" applyFill="1" applyBorder="1" applyAlignment="1"/>
    <xf numFmtId="0" fontId="33" fillId="4" borderId="0" xfId="0" applyFont="1" applyFill="1" applyBorder="1" applyAlignment="1">
      <alignment vertical="center"/>
    </xf>
    <xf numFmtId="0" fontId="33" fillId="4" borderId="0" xfId="0" applyFont="1" applyFill="1" applyBorder="1" applyAlignment="1">
      <alignment vertical="center" wrapText="1"/>
    </xf>
    <xf numFmtId="0" fontId="0" fillId="3" borderId="0" xfId="0" applyFill="1"/>
    <xf numFmtId="0" fontId="0" fillId="4" borderId="0" xfId="0" applyFill="1"/>
    <xf numFmtId="0" fontId="0" fillId="4" borderId="0" xfId="0" applyFill="1" applyAlignment="1">
      <alignment horizontal="left" vertical="top" wrapText="1"/>
    </xf>
    <xf numFmtId="0" fontId="30" fillId="4" borderId="0" xfId="0" applyFont="1" applyFill="1" applyAlignment="1">
      <alignment horizontal="left" wrapText="1"/>
    </xf>
    <xf numFmtId="0" fontId="0" fillId="4" borderId="0" xfId="0" applyFill="1" applyBorder="1"/>
    <xf numFmtId="0" fontId="35" fillId="4" borderId="0" xfId="0" applyFont="1" applyFill="1" applyBorder="1"/>
    <xf numFmtId="0" fontId="34" fillId="4" borderId="0" xfId="0" applyFont="1" applyFill="1" applyAlignment="1">
      <alignment vertical="center" wrapText="1"/>
    </xf>
    <xf numFmtId="6" fontId="3" fillId="4" borderId="0" xfId="0" applyNumberFormat="1" applyFont="1" applyFill="1" applyBorder="1" applyAlignment="1">
      <alignment horizontal="center" vertical="center" wrapText="1"/>
    </xf>
    <xf numFmtId="0" fontId="32" fillId="4" borderId="0" xfId="0" applyFont="1" applyFill="1" applyBorder="1" applyAlignment="1">
      <alignment horizontal="center" vertical="center" wrapText="1" readingOrder="1"/>
    </xf>
    <xf numFmtId="9" fontId="30" fillId="4" borderId="0" xfId="0" applyNumberFormat="1" applyFont="1" applyFill="1"/>
    <xf numFmtId="165" fontId="30" fillId="4" borderId="0" xfId="0" applyNumberFormat="1" applyFont="1" applyFill="1" applyBorder="1" applyAlignment="1">
      <alignment horizontal="center" vertical="center"/>
    </xf>
    <xf numFmtId="167" fontId="30" fillId="4" borderId="0" xfId="0" applyNumberFormat="1" applyFont="1" applyFill="1" applyBorder="1" applyAlignment="1">
      <alignment horizontal="center" vertical="center"/>
    </xf>
    <xf numFmtId="0" fontId="30" fillId="4" borderId="36" xfId="0" applyFont="1" applyFill="1" applyBorder="1"/>
    <xf numFmtId="0" fontId="10" fillId="4" borderId="0" xfId="0" applyFont="1" applyFill="1" applyBorder="1"/>
    <xf numFmtId="0" fontId="32" fillId="4" borderId="0" xfId="0" applyFont="1" applyFill="1" applyBorder="1" applyAlignment="1">
      <alignment horizontal="center" vertical="top" wrapText="1"/>
    </xf>
    <xf numFmtId="0" fontId="3" fillId="4" borderId="0" xfId="0" applyFont="1" applyFill="1"/>
    <xf numFmtId="0" fontId="31" fillId="4" borderId="0" xfId="0" applyFont="1" applyFill="1" applyBorder="1" applyAlignment="1">
      <alignment vertical="center" wrapText="1"/>
    </xf>
    <xf numFmtId="6" fontId="31" fillId="4" borderId="0" xfId="0" applyNumberFormat="1" applyFont="1" applyFill="1" applyBorder="1" applyAlignment="1">
      <alignment horizontal="center" vertical="center" wrapText="1"/>
    </xf>
    <xf numFmtId="0" fontId="0" fillId="3" borderId="0" xfId="0" applyFill="1" applyAlignment="1">
      <alignment horizontal="center" vertical="center"/>
    </xf>
    <xf numFmtId="0" fontId="0" fillId="3" borderId="0" xfId="0" applyFill="1" applyAlignment="1">
      <alignment horizontal="left" vertical="center"/>
    </xf>
    <xf numFmtId="0" fontId="30" fillId="4" borderId="0" xfId="0" applyFont="1" applyFill="1" applyBorder="1" applyAlignment="1">
      <alignment horizontal="left" wrapText="1"/>
    </xf>
    <xf numFmtId="0" fontId="30" fillId="4" borderId="0" xfId="0" applyFont="1" applyFill="1" applyBorder="1" applyAlignment="1">
      <alignment textRotation="90" wrapText="1"/>
    </xf>
    <xf numFmtId="0" fontId="30" fillId="5" borderId="2" xfId="0" applyFont="1" applyFill="1" applyBorder="1"/>
    <xf numFmtId="0" fontId="36" fillId="5" borderId="2" xfId="0" applyFont="1" applyFill="1" applyBorder="1"/>
    <xf numFmtId="0" fontId="35" fillId="5" borderId="2" xfId="0" applyFont="1" applyFill="1" applyBorder="1"/>
    <xf numFmtId="0" fontId="3" fillId="4" borderId="0" xfId="0" applyFont="1" applyFill="1" applyBorder="1" applyAlignment="1">
      <alignment vertical="center" wrapText="1"/>
    </xf>
    <xf numFmtId="0" fontId="30" fillId="4" borderId="0" xfId="0" applyFont="1" applyFill="1" applyBorder="1" applyAlignment="1">
      <alignment vertical="top" wrapText="1"/>
    </xf>
    <xf numFmtId="165" fontId="30" fillId="4" borderId="0" xfId="0" applyNumberFormat="1" applyFont="1" applyFill="1" applyBorder="1" applyAlignment="1">
      <alignment vertical="center"/>
    </xf>
    <xf numFmtId="0" fontId="32" fillId="7" borderId="0" xfId="0" applyNumberFormat="1" applyFont="1" applyFill="1" applyBorder="1" applyAlignment="1">
      <alignment horizontal="center" vertical="center" wrapText="1"/>
    </xf>
    <xf numFmtId="0" fontId="3" fillId="4" borderId="0" xfId="17" applyNumberFormat="1" applyFont="1" applyFill="1" applyBorder="1" applyAlignment="1">
      <alignment horizontal="left" vertical="center" wrapText="1"/>
    </xf>
    <xf numFmtId="0" fontId="2" fillId="2" borderId="0" xfId="17" applyNumberFormat="1" applyFont="1" applyFill="1" applyBorder="1" applyAlignment="1">
      <alignment horizontal="center" vertical="center" wrapText="1"/>
    </xf>
    <xf numFmtId="169" fontId="2" fillId="2" borderId="0" xfId="17" applyNumberFormat="1" applyFont="1" applyFill="1" applyBorder="1" applyAlignment="1">
      <alignment horizontal="center" vertical="center" wrapText="1"/>
    </xf>
    <xf numFmtId="0" fontId="30" fillId="4" borderId="0" xfId="0" applyFont="1" applyFill="1"/>
    <xf numFmtId="0" fontId="30" fillId="4" borderId="0" xfId="0" applyFont="1" applyFill="1" applyBorder="1" applyAlignment="1">
      <alignment horizontal="center" vertical="center" wrapText="1"/>
    </xf>
    <xf numFmtId="0" fontId="30" fillId="4" borderId="0" xfId="0" applyFont="1" applyFill="1"/>
    <xf numFmtId="0" fontId="30" fillId="4" borderId="0" xfId="0" applyFont="1" applyFill="1"/>
    <xf numFmtId="0" fontId="30" fillId="4" borderId="0" xfId="0" applyFont="1" applyFill="1"/>
    <xf numFmtId="0" fontId="3" fillId="4" borderId="0" xfId="0" applyFont="1" applyFill="1" applyAlignment="1">
      <alignment vertical="center"/>
    </xf>
    <xf numFmtId="0" fontId="32" fillId="4" borderId="0" xfId="0" applyFont="1" applyFill="1" applyBorder="1" applyAlignment="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49" fontId="30" fillId="4" borderId="0" xfId="0" applyNumberFormat="1" applyFont="1" applyFill="1"/>
    <xf numFmtId="0" fontId="30" fillId="4" borderId="0" xfId="0" applyFont="1" applyFill="1"/>
    <xf numFmtId="0" fontId="32" fillId="7" borderId="0" xfId="0" applyNumberFormat="1" applyFont="1" applyFill="1" applyBorder="1" applyAlignment="1">
      <alignment vertical="center" wrapText="1"/>
    </xf>
    <xf numFmtId="0" fontId="34" fillId="4" borderId="0" xfId="0" applyFont="1" applyFill="1" applyBorder="1" applyAlignment="1">
      <alignment vertical="top" wrapText="1"/>
    </xf>
    <xf numFmtId="0" fontId="3" fillId="4" borderId="0" xfId="17" applyNumberFormat="1" applyFont="1" applyFill="1" applyBorder="1" applyAlignment="1">
      <alignment horizontal="left" vertical="center" wrapText="1" indent="1"/>
    </xf>
    <xf numFmtId="3" fontId="2" fillId="4" borderId="0" xfId="17" applyNumberFormat="1" applyFont="1" applyFill="1" applyBorder="1" applyAlignment="1">
      <alignment horizontal="center" vertical="center" wrapText="1"/>
    </xf>
    <xf numFmtId="169" fontId="2" fillId="4" borderId="0" xfId="17" applyNumberFormat="1" applyFont="1" applyFill="1" applyBorder="1" applyAlignment="1">
      <alignment horizontal="center" vertical="center" wrapText="1"/>
    </xf>
    <xf numFmtId="0" fontId="35" fillId="4" borderId="0" xfId="0" applyFont="1" applyFill="1" applyBorder="1" applyAlignment="1">
      <alignment horizontal="left" vertical="center" indent="1"/>
    </xf>
    <xf numFmtId="0" fontId="30" fillId="4" borderId="0" xfId="0" applyFont="1" applyFill="1"/>
    <xf numFmtId="0" fontId="32" fillId="9" borderId="0" xfId="0" applyFont="1" applyFill="1" applyBorder="1" applyAlignment="1">
      <alignment vertical="center"/>
    </xf>
    <xf numFmtId="0" fontId="30" fillId="10" borderId="0" xfId="0" applyFont="1" applyFill="1" applyBorder="1" applyAlignment="1">
      <alignment horizontal="left" vertical="center" wrapText="1" indent="1"/>
    </xf>
    <xf numFmtId="0" fontId="3" fillId="4" borderId="0" xfId="0" applyFont="1" applyFill="1" applyBorder="1" applyAlignment="1">
      <alignment vertical="center"/>
    </xf>
    <xf numFmtId="0" fontId="3" fillId="4" borderId="0" xfId="0" applyFont="1" applyFill="1" applyBorder="1" applyAlignment="1">
      <alignment vertical="top" wrapText="1"/>
    </xf>
    <xf numFmtId="0" fontId="1" fillId="4" borderId="0" xfId="0" applyFont="1" applyFill="1" applyAlignment="1">
      <alignment vertical="center" wrapText="1"/>
    </xf>
    <xf numFmtId="0" fontId="32" fillId="11" borderId="0" xfId="0" applyNumberFormat="1" applyFont="1" applyFill="1" applyBorder="1" applyAlignment="1">
      <alignment horizontal="center" vertical="center"/>
    </xf>
    <xf numFmtId="168" fontId="2" fillId="4" borderId="0" xfId="0" applyNumberFormat="1" applyFont="1" applyFill="1" applyBorder="1" applyAlignment="1">
      <alignment horizontal="center" vertical="center"/>
    </xf>
    <xf numFmtId="0" fontId="2" fillId="4" borderId="0" xfId="0" applyNumberFormat="1" applyFont="1" applyFill="1" applyBorder="1" applyAlignment="1">
      <alignment horizontal="center" vertical="center" wrapText="1"/>
    </xf>
    <xf numFmtId="0" fontId="31" fillId="4" borderId="0" xfId="0" applyFont="1" applyFill="1" applyAlignment="1">
      <alignment horizontal="left" vertical="center" indent="2"/>
    </xf>
    <xf numFmtId="0" fontId="31" fillId="0" borderId="0" xfId="0" applyFont="1" applyBorder="1" applyAlignment="1">
      <alignment horizontal="left" vertical="center" indent="2"/>
    </xf>
    <xf numFmtId="0" fontId="1" fillId="4" borderId="0" xfId="0" applyFont="1" applyFill="1" applyAlignment="1">
      <alignment horizontal="right" vertical="center" wrapText="1"/>
    </xf>
    <xf numFmtId="0" fontId="30" fillId="5" borderId="2" xfId="0" applyFont="1" applyFill="1" applyBorder="1" applyAlignment="1"/>
    <xf numFmtId="0" fontId="38" fillId="4" borderId="0" xfId="0" applyFont="1" applyFill="1" applyBorder="1" applyAlignment="1">
      <alignment vertical="center"/>
    </xf>
    <xf numFmtId="0" fontId="30" fillId="4" borderId="0" xfId="0" applyFont="1" applyFill="1"/>
    <xf numFmtId="0" fontId="30" fillId="4" borderId="0" xfId="0" applyFont="1" applyFill="1" applyBorder="1" applyAlignment="1">
      <alignment vertical="center"/>
    </xf>
    <xf numFmtId="166" fontId="30" fillId="4" borderId="0" xfId="0" applyNumberFormat="1" applyFont="1" applyFill="1" applyBorder="1" applyAlignment="1">
      <alignment horizontal="center" vertical="center"/>
    </xf>
    <xf numFmtId="0" fontId="34" fillId="4" borderId="0" xfId="0" applyFont="1" applyFill="1" applyBorder="1" applyAlignment="1">
      <alignment vertical="center"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5" fillId="4" borderId="0" xfId="0" applyFont="1" applyFill="1" applyBorder="1" applyAlignment="1">
      <alignment horizontal="center" vertical="center" wrapText="1"/>
    </xf>
    <xf numFmtId="0" fontId="30" fillId="4" borderId="0" xfId="0" applyFont="1" applyFill="1"/>
    <xf numFmtId="0" fontId="30" fillId="4" borderId="0" xfId="0" applyFont="1" applyFill="1"/>
    <xf numFmtId="0" fontId="34" fillId="3" borderId="0" xfId="0" applyFont="1" applyFill="1" applyAlignment="1">
      <alignment vertical="top" wrapText="1"/>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2" fillId="4" borderId="0" xfId="0" applyFont="1" applyFill="1" applyBorder="1" applyAlignment="1">
      <alignment horizontal="center" vertical="center"/>
    </xf>
    <xf numFmtId="0" fontId="30" fillId="4" borderId="0" xfId="0" applyFont="1" applyFill="1"/>
    <xf numFmtId="0" fontId="39" fillId="4" borderId="0" xfId="0" applyFont="1" applyFill="1"/>
    <xf numFmtId="0" fontId="40" fillId="4" borderId="0" xfId="0" applyFont="1" applyFill="1"/>
    <xf numFmtId="0" fontId="39" fillId="4" borderId="0" xfId="0" applyFont="1" applyFill="1" applyBorder="1"/>
    <xf numFmtId="0" fontId="36" fillId="5" borderId="2" xfId="0" applyFont="1" applyFill="1" applyBorder="1" applyAlignment="1"/>
    <xf numFmtId="0" fontId="4" fillId="4" borderId="0" xfId="0" applyFont="1" applyFill="1" applyAlignment="1">
      <alignment wrapText="1"/>
    </xf>
    <xf numFmtId="0" fontId="30" fillId="4" borderId="0" xfId="0" applyFont="1" applyFill="1"/>
    <xf numFmtId="0" fontId="30" fillId="4" borderId="0" xfId="0" applyFont="1" applyFill="1"/>
    <xf numFmtId="0" fontId="41" fillId="4" borderId="0" xfId="0" applyFont="1" applyFill="1" applyBorder="1"/>
    <xf numFmtId="0" fontId="41" fillId="4" borderId="0" xfId="0" applyFont="1" applyFill="1" applyBorder="1" applyAlignment="1">
      <alignment horizontal="left" vertical="center" wrapText="1" indent="1"/>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42" fillId="4" borderId="0" xfId="11" applyFont="1" applyFill="1" applyBorder="1" applyAlignment="1">
      <alignment horizontal="left" indent="1"/>
    </xf>
    <xf numFmtId="49" fontId="42" fillId="4" borderId="0" xfId="8" applyNumberFormat="1" applyFont="1" applyFill="1" applyBorder="1" applyAlignment="1">
      <alignment horizontal="center"/>
    </xf>
    <xf numFmtId="0" fontId="30" fillId="4" borderId="0" xfId="0" applyFont="1" applyFill="1" applyBorder="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1" fillId="4" borderId="0" xfId="0" applyFont="1" applyFill="1" applyBorder="1" applyAlignment="1">
      <alignment horizontal="left" vertical="center" indent="2"/>
    </xf>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0" fillId="4" borderId="0" xfId="0" applyFont="1" applyFill="1"/>
    <xf numFmtId="0" fontId="32" fillId="9" borderId="36" xfId="0" applyFont="1" applyFill="1" applyBorder="1" applyAlignment="1">
      <alignment horizontal="center" vertical="center"/>
    </xf>
    <xf numFmtId="0" fontId="32" fillId="9" borderId="0" xfId="0" applyFont="1" applyFill="1" applyBorder="1" applyAlignment="1">
      <alignment horizontal="center" vertical="center" wrapText="1"/>
    </xf>
    <xf numFmtId="0" fontId="30" fillId="4" borderId="0" xfId="0" applyFont="1" applyFill="1" applyBorder="1" applyAlignment="1">
      <alignment horizontal="left" vertical="center" wrapText="1" indent="1"/>
    </xf>
    <xf numFmtId="0" fontId="30" fillId="4" borderId="0" xfId="0" applyFont="1" applyFill="1" applyBorder="1" applyAlignment="1">
      <alignment horizontal="left" vertical="center" indent="1"/>
    </xf>
    <xf numFmtId="0" fontId="32" fillId="4" borderId="0" xfId="0" applyFont="1" applyFill="1" applyBorder="1" applyAlignment="1">
      <alignment horizontal="center" vertical="center" wrapText="1"/>
    </xf>
    <xf numFmtId="0" fontId="30" fillId="4" borderId="0" xfId="0" applyFont="1" applyFill="1"/>
    <xf numFmtId="3" fontId="2" fillId="12" borderId="0" xfId="0" applyNumberFormat="1" applyFont="1" applyFill="1" applyBorder="1" applyAlignment="1">
      <alignment horizontal="center" vertical="center"/>
    </xf>
    <xf numFmtId="3" fontId="30" fillId="4" borderId="0" xfId="0" applyNumberFormat="1" applyFont="1" applyFill="1" applyBorder="1" applyAlignment="1">
      <alignment horizontal="center" vertical="center"/>
    </xf>
    <xf numFmtId="166" fontId="2" fillId="6" borderId="0" xfId="0" applyNumberFormat="1" applyFont="1" applyFill="1" applyBorder="1" applyAlignment="1">
      <alignment horizontal="center" vertical="center"/>
    </xf>
    <xf numFmtId="0" fontId="37" fillId="6" borderId="0" xfId="0" applyNumberFormat="1" applyFont="1" applyFill="1" applyBorder="1" applyAlignment="1">
      <alignment horizontal="center" vertical="center"/>
    </xf>
    <xf numFmtId="166" fontId="37" fillId="6" borderId="0" xfId="0" applyNumberFormat="1" applyFont="1" applyFill="1" applyBorder="1" applyAlignment="1">
      <alignment horizontal="center" vertical="center"/>
    </xf>
    <xf numFmtId="166" fontId="37" fillId="8" borderId="0" xfId="0" applyNumberFormat="1" applyFont="1" applyFill="1" applyBorder="1" applyAlignment="1">
      <alignment horizontal="center" vertical="center"/>
    </xf>
    <xf numFmtId="0" fontId="31" fillId="4" borderId="0" xfId="0" applyFont="1" applyFill="1" applyBorder="1" applyAlignment="1">
      <alignment horizontal="center" vertical="center" wrapText="1" readingOrder="1"/>
    </xf>
    <xf numFmtId="3" fontId="30" fillId="4" borderId="0" xfId="0" applyNumberFormat="1" applyFont="1" applyFill="1" applyBorder="1" applyAlignment="1">
      <alignment horizontal="center" vertical="center" readingOrder="1"/>
    </xf>
    <xf numFmtId="6" fontId="30" fillId="7" borderId="0" xfId="0" applyNumberFormat="1" applyFont="1" applyFill="1" applyBorder="1" applyAlignment="1">
      <alignment horizontal="center" vertical="center" readingOrder="1"/>
    </xf>
    <xf numFmtId="6" fontId="30" fillId="4" borderId="0" xfId="0" applyNumberFormat="1" applyFont="1" applyFill="1" applyBorder="1" applyAlignment="1">
      <alignment horizontal="center" vertical="center" readingOrder="1"/>
    </xf>
    <xf numFmtId="0" fontId="44" fillId="4" borderId="0" xfId="0" applyFont="1" applyFill="1"/>
    <xf numFmtId="0" fontId="30" fillId="4" borderId="0" xfId="0" applyFont="1" applyFill="1"/>
    <xf numFmtId="0" fontId="32" fillId="11" borderId="0" xfId="0" applyNumberFormat="1" applyFont="1" applyFill="1" applyBorder="1" applyAlignment="1">
      <alignment vertical="center"/>
    </xf>
    <xf numFmtId="0" fontId="30" fillId="4" borderId="0" xfId="0" applyFont="1" applyFill="1"/>
    <xf numFmtId="0" fontId="34" fillId="0" borderId="0" xfId="0" applyFont="1" applyFill="1" applyBorder="1" applyAlignment="1">
      <alignment horizontal="center" vertical="center" textRotation="90"/>
    </xf>
    <xf numFmtId="0" fontId="34" fillId="13" borderId="0" xfId="0" applyNumberFormat="1" applyFont="1" applyFill="1"/>
    <xf numFmtId="49" fontId="34" fillId="13" borderId="0" xfId="0" applyNumberFormat="1" applyFont="1" applyFill="1"/>
    <xf numFmtId="0" fontId="17" fillId="13" borderId="0" xfId="0" applyFont="1" applyFill="1"/>
    <xf numFmtId="0" fontId="34" fillId="13" borderId="0" xfId="0" applyFont="1" applyFill="1" applyBorder="1" applyAlignment="1">
      <alignment horizontal="left" vertical="center" wrapText="1" indent="1"/>
    </xf>
    <xf numFmtId="0" fontId="34" fillId="13" borderId="0" xfId="0" applyFont="1" applyFill="1" applyBorder="1" applyAlignment="1">
      <alignment horizontal="left" vertical="center" indent="1"/>
    </xf>
    <xf numFmtId="166" fontId="34" fillId="13" borderId="0" xfId="0" applyNumberFormat="1" applyFont="1" applyFill="1" applyBorder="1" applyAlignment="1">
      <alignment horizontal="center" vertical="center"/>
    </xf>
    <xf numFmtId="0" fontId="47" fillId="13" borderId="0" xfId="0" applyFont="1" applyFill="1"/>
    <xf numFmtId="0" fontId="30" fillId="4" borderId="0" xfId="0" applyFont="1" applyFill="1"/>
    <xf numFmtId="0" fontId="34" fillId="13" borderId="0" xfId="0" applyFont="1" applyFill="1"/>
    <xf numFmtId="0" fontId="16" fillId="13" borderId="0" xfId="0" applyFont="1" applyFill="1"/>
    <xf numFmtId="49" fontId="34" fillId="13" borderId="38" xfId="0" applyNumberFormat="1" applyFont="1" applyFill="1" applyBorder="1"/>
    <xf numFmtId="0" fontId="34" fillId="13" borderId="38" xfId="0" applyFont="1" applyFill="1" applyBorder="1"/>
    <xf numFmtId="0" fontId="30" fillId="13" borderId="0" xfId="0" applyFont="1" applyFill="1"/>
    <xf numFmtId="0" fontId="30" fillId="13" borderId="39" xfId="0" applyFont="1" applyFill="1" applyBorder="1"/>
    <xf numFmtId="0" fontId="34" fillId="13" borderId="39" xfId="0" applyFont="1" applyFill="1" applyBorder="1"/>
    <xf numFmtId="0" fontId="30" fillId="13" borderId="38" xfId="0" applyFont="1" applyFill="1" applyBorder="1"/>
    <xf numFmtId="0" fontId="34" fillId="9" borderId="0" xfId="0" applyFont="1" applyFill="1"/>
    <xf numFmtId="0" fontId="45" fillId="9" borderId="37" xfId="0" applyFont="1" applyFill="1" applyBorder="1" applyAlignment="1">
      <alignment vertical="center" wrapText="1" readingOrder="1"/>
    </xf>
    <xf numFmtId="0" fontId="30" fillId="4" borderId="0" xfId="0" applyFont="1" applyFill="1"/>
    <xf numFmtId="0" fontId="34" fillId="4" borderId="40"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4" fillId="4" borderId="5" xfId="0" applyFont="1" applyFill="1" applyBorder="1" applyAlignment="1">
      <alignment horizontal="center" vertical="center" wrapText="1"/>
    </xf>
    <xf numFmtId="170" fontId="34" fillId="13" borderId="7" xfId="0" applyNumberFormat="1" applyFont="1" applyFill="1" applyBorder="1" applyAlignment="1">
      <alignment horizontal="center" vertical="center"/>
    </xf>
    <xf numFmtId="171" fontId="19" fillId="4" borderId="8" xfId="1" applyNumberFormat="1" applyFont="1" applyFill="1" applyBorder="1" applyAlignment="1">
      <alignment horizontal="center" vertical="center"/>
    </xf>
    <xf numFmtId="171" fontId="19" fillId="4" borderId="9" xfId="1" applyNumberFormat="1" applyFont="1" applyFill="1" applyBorder="1" applyAlignment="1">
      <alignment horizontal="center" vertical="center"/>
    </xf>
    <xf numFmtId="171" fontId="19" fillId="4" borderId="4" xfId="1" applyNumberFormat="1" applyFont="1" applyFill="1" applyBorder="1" applyAlignment="1">
      <alignment horizontal="center" vertical="center"/>
    </xf>
    <xf numFmtId="171" fontId="19" fillId="4" borderId="10" xfId="1" applyNumberFormat="1" applyFont="1" applyFill="1" applyBorder="1" applyAlignment="1">
      <alignment horizontal="center" vertical="center"/>
    </xf>
    <xf numFmtId="0" fontId="30" fillId="13" borderId="0" xfId="0" applyFont="1" applyFill="1" applyBorder="1"/>
    <xf numFmtId="170" fontId="47" fillId="4" borderId="11" xfId="0" applyNumberFormat="1" applyFont="1" applyFill="1" applyBorder="1" applyAlignment="1">
      <alignment horizontal="center" vertical="center"/>
    </xf>
    <xf numFmtId="170" fontId="47" fillId="4" borderId="1" xfId="0" applyNumberFormat="1" applyFont="1" applyFill="1" applyBorder="1" applyAlignment="1">
      <alignment horizontal="center" vertical="center"/>
    </xf>
    <xf numFmtId="170" fontId="47" fillId="4" borderId="12" xfId="0" applyNumberFormat="1" applyFont="1" applyFill="1" applyBorder="1" applyAlignment="1">
      <alignment horizontal="center" vertical="center"/>
    </xf>
    <xf numFmtId="0" fontId="30" fillId="4" borderId="0" xfId="0" applyFont="1" applyFill="1"/>
    <xf numFmtId="170" fontId="34" fillId="4" borderId="8" xfId="0" applyNumberFormat="1" applyFont="1" applyFill="1" applyBorder="1" applyAlignment="1">
      <alignment horizontal="center" vertical="center"/>
    </xf>
    <xf numFmtId="170" fontId="34" fillId="4" borderId="9" xfId="0" applyNumberFormat="1" applyFont="1" applyFill="1" applyBorder="1" applyAlignment="1">
      <alignment horizontal="center" vertical="center"/>
    </xf>
    <xf numFmtId="170" fontId="34" fillId="4" borderId="14" xfId="0" applyNumberFormat="1" applyFont="1" applyFill="1" applyBorder="1" applyAlignment="1">
      <alignment horizontal="center" vertical="center"/>
    </xf>
    <xf numFmtId="0" fontId="30" fillId="4" borderId="0" xfId="0" applyFont="1" applyFill="1"/>
    <xf numFmtId="0" fontId="30" fillId="4" borderId="1" xfId="0" applyFont="1" applyFill="1" applyBorder="1"/>
    <xf numFmtId="0" fontId="34" fillId="4" borderId="0" xfId="0" applyFont="1" applyFill="1" applyAlignment="1">
      <alignment wrapText="1"/>
    </xf>
    <xf numFmtId="0" fontId="34" fillId="4" borderId="0" xfId="0" applyFont="1" applyFill="1" applyBorder="1" applyAlignment="1">
      <alignment horizontal="left" vertical="center" wrapText="1"/>
    </xf>
    <xf numFmtId="0" fontId="34" fillId="4" borderId="9" xfId="0" applyFont="1" applyFill="1" applyBorder="1" applyAlignment="1">
      <alignment horizontal="left" vertical="center" wrapText="1" indent="1"/>
    </xf>
    <xf numFmtId="0" fontId="34" fillId="4" borderId="8" xfId="0" applyFont="1" applyFill="1" applyBorder="1" applyAlignment="1">
      <alignment horizontal="left" vertical="center" wrapText="1" indent="1"/>
    </xf>
    <xf numFmtId="0" fontId="34" fillId="4" borderId="5" xfId="0" applyFont="1" applyFill="1" applyBorder="1" applyAlignment="1">
      <alignment horizontal="left" vertical="center" wrapText="1" indent="1"/>
    </xf>
    <xf numFmtId="0" fontId="16" fillId="4" borderId="0" xfId="0" applyFont="1" applyFill="1"/>
    <xf numFmtId="0" fontId="47" fillId="4" borderId="0" xfId="0" applyFont="1" applyFill="1"/>
    <xf numFmtId="0" fontId="48" fillId="7" borderId="15" xfId="0" applyNumberFormat="1" applyFont="1" applyFill="1" applyBorder="1" applyAlignment="1">
      <alignment horizontal="center" vertical="center" wrapText="1"/>
    </xf>
    <xf numFmtId="0" fontId="45" fillId="9" borderId="0" xfId="0" applyFont="1" applyFill="1" applyBorder="1" applyAlignment="1">
      <alignment horizontal="left" vertical="center" wrapText="1" indent="1" readingOrder="1"/>
    </xf>
    <xf numFmtId="0" fontId="34" fillId="4" borderId="15" xfId="0" applyFont="1" applyFill="1" applyBorder="1" applyAlignment="1">
      <alignment horizontal="left" vertical="center" wrapText="1" indent="1"/>
    </xf>
    <xf numFmtId="0" fontId="34" fillId="4" borderId="14" xfId="0" applyFont="1" applyFill="1" applyBorder="1" applyAlignment="1">
      <alignment horizontal="left" vertical="center" wrapText="1" indent="1"/>
    </xf>
    <xf numFmtId="0" fontId="47" fillId="4" borderId="12" xfId="11" applyFont="1" applyFill="1" applyBorder="1" applyAlignment="1">
      <alignment horizontal="left" indent="1"/>
    </xf>
    <xf numFmtId="0" fontId="47" fillId="4" borderId="7" xfId="11" applyFont="1" applyFill="1" applyBorder="1" applyAlignment="1">
      <alignment horizontal="left" indent="1"/>
    </xf>
    <xf numFmtId="0" fontId="47" fillId="4" borderId="11" xfId="11" applyFont="1" applyFill="1" applyBorder="1" applyAlignment="1">
      <alignment horizontal="left" indent="1"/>
    </xf>
    <xf numFmtId="0" fontId="19" fillId="4" borderId="9" xfId="0" applyFont="1" applyFill="1" applyBorder="1" applyAlignment="1">
      <alignment horizontal="left" vertical="center" indent="1"/>
    </xf>
    <xf numFmtId="0" fontId="19" fillId="4" borderId="10" xfId="0" applyFont="1" applyFill="1" applyBorder="1" applyAlignment="1">
      <alignment horizontal="left" vertical="center" indent="1"/>
    </xf>
    <xf numFmtId="0" fontId="50" fillId="4" borderId="0" xfId="0" applyFont="1" applyFill="1"/>
    <xf numFmtId="0" fontId="34" fillId="4" borderId="0" xfId="0" applyFont="1" applyFill="1" applyAlignment="1">
      <alignment horizontal="left"/>
    </xf>
    <xf numFmtId="0" fontId="51" fillId="10" borderId="0" xfId="0" applyFont="1" applyFill="1" applyAlignment="1">
      <alignment vertical="center"/>
    </xf>
    <xf numFmtId="0" fontId="47" fillId="4" borderId="8" xfId="0" applyFont="1" applyFill="1" applyBorder="1" applyAlignment="1">
      <alignment horizontal="center" vertical="center"/>
    </xf>
    <xf numFmtId="0" fontId="52" fillId="14" borderId="46" xfId="0" applyFont="1" applyFill="1" applyBorder="1" applyAlignment="1">
      <alignment horizontal="center" vertical="center"/>
    </xf>
    <xf numFmtId="0" fontId="52" fillId="9" borderId="0" xfId="8" applyNumberFormat="1" applyFont="1" applyFill="1" applyBorder="1" applyAlignment="1">
      <alignment horizontal="center" vertical="center"/>
    </xf>
    <xf numFmtId="0" fontId="52" fillId="9" borderId="36" xfId="8" applyNumberFormat="1" applyFont="1" applyFill="1" applyBorder="1" applyAlignment="1">
      <alignment horizontal="center" vertical="center"/>
    </xf>
    <xf numFmtId="0" fontId="16" fillId="4" borderId="0" xfId="0" applyFont="1" applyFill="1" applyBorder="1" applyAlignment="1">
      <alignment vertical="center"/>
    </xf>
    <xf numFmtId="6" fontId="53" fillId="4" borderId="0" xfId="0" applyNumberFormat="1" applyFont="1" applyFill="1" applyBorder="1" applyAlignment="1">
      <alignment horizontal="center" vertical="center"/>
    </xf>
    <xf numFmtId="6" fontId="19" fillId="4" borderId="0" xfId="0" applyNumberFormat="1" applyFont="1" applyFill="1" applyBorder="1" applyAlignment="1">
      <alignment horizontal="center" vertical="center"/>
    </xf>
    <xf numFmtId="0" fontId="19" fillId="4" borderId="0" xfId="0" applyFont="1" applyFill="1" applyBorder="1" applyAlignment="1">
      <alignment horizontal="left" vertical="center" indent="1"/>
    </xf>
    <xf numFmtId="0" fontId="19" fillId="4" borderId="8" xfId="0" applyFont="1" applyFill="1" applyBorder="1" applyAlignment="1">
      <alignment horizontal="left" vertical="center" indent="1"/>
    </xf>
    <xf numFmtId="0" fontId="30" fillId="4" borderId="0" xfId="0" applyFont="1" applyFill="1"/>
    <xf numFmtId="170" fontId="34" fillId="4" borderId="16" xfId="0" applyNumberFormat="1" applyFont="1" applyFill="1" applyBorder="1" applyAlignment="1">
      <alignment horizontal="center" vertical="center"/>
    </xf>
    <xf numFmtId="170" fontId="19" fillId="4" borderId="4" xfId="0" applyNumberFormat="1" applyFont="1" applyFill="1" applyBorder="1" applyAlignment="1">
      <alignment horizontal="center" vertical="center"/>
    </xf>
    <xf numFmtId="170" fontId="19" fillId="4" borderId="9" xfId="0" applyNumberFormat="1" applyFont="1" applyFill="1" applyBorder="1" applyAlignment="1">
      <alignment horizontal="center" vertical="center"/>
    </xf>
    <xf numFmtId="170" fontId="34" fillId="4" borderId="4" xfId="0" applyNumberFormat="1" applyFont="1" applyFill="1" applyBorder="1" applyAlignment="1">
      <alignment horizontal="center" vertical="center"/>
    </xf>
    <xf numFmtId="170" fontId="19" fillId="4" borderId="5" xfId="0" applyNumberFormat="1" applyFont="1" applyFill="1" applyBorder="1" applyAlignment="1">
      <alignment horizontal="center" vertical="center"/>
    </xf>
    <xf numFmtId="170" fontId="34" fillId="4" borderId="5" xfId="0" applyNumberFormat="1" applyFont="1" applyFill="1" applyBorder="1" applyAlignment="1">
      <alignment horizontal="center" vertical="center"/>
    </xf>
    <xf numFmtId="170" fontId="19" fillId="4" borderId="8" xfId="0" applyNumberFormat="1" applyFont="1" applyFill="1" applyBorder="1" applyAlignment="1">
      <alignment horizontal="center" vertical="center"/>
    </xf>
    <xf numFmtId="170" fontId="19" fillId="4" borderId="10" xfId="0" applyNumberFormat="1" applyFont="1" applyFill="1" applyBorder="1" applyAlignment="1">
      <alignment horizontal="center" vertical="center"/>
    </xf>
    <xf numFmtId="170" fontId="19" fillId="4" borderId="15" xfId="0" applyNumberFormat="1" applyFont="1" applyFill="1" applyBorder="1" applyAlignment="1">
      <alignment horizontal="center" vertical="center"/>
    </xf>
    <xf numFmtId="0" fontId="47" fillId="4" borderId="0" xfId="11" applyFont="1" applyFill="1" applyBorder="1" applyAlignment="1">
      <alignment horizontal="left" indent="1"/>
    </xf>
    <xf numFmtId="170" fontId="47" fillId="4" borderId="0" xfId="8" applyNumberFormat="1" applyFont="1" applyFill="1" applyBorder="1" applyAlignment="1">
      <alignment horizontal="center"/>
    </xf>
    <xf numFmtId="0" fontId="34" fillId="4" borderId="48" xfId="0" applyFont="1" applyFill="1" applyBorder="1" applyAlignment="1">
      <alignment horizontal="center" vertical="center" textRotation="90"/>
    </xf>
    <xf numFmtId="170" fontId="34" fillId="4" borderId="0" xfId="8" applyNumberFormat="1" applyFont="1" applyFill="1" applyBorder="1" applyAlignment="1">
      <alignment horizontal="center"/>
    </xf>
    <xf numFmtId="0" fontId="34" fillId="4" borderId="0" xfId="11" applyFont="1" applyFill="1" applyBorder="1" applyAlignment="1">
      <alignment horizontal="left" indent="1"/>
    </xf>
    <xf numFmtId="0" fontId="30" fillId="4" borderId="0" xfId="0" applyFont="1" applyFill="1"/>
    <xf numFmtId="166" fontId="41" fillId="4" borderId="0" xfId="8" applyNumberFormat="1" applyFont="1" applyFill="1" applyBorder="1" applyAlignment="1"/>
    <xf numFmtId="0" fontId="34" fillId="4" borderId="0" xfId="0" applyFont="1" applyFill="1" applyAlignment="1">
      <alignment vertical="center"/>
    </xf>
    <xf numFmtId="0" fontId="30" fillId="4" borderId="0" xfId="0" applyFont="1" applyFill="1"/>
    <xf numFmtId="0" fontId="34" fillId="4" borderId="0" xfId="0" applyFont="1" applyFill="1" applyBorder="1" applyAlignment="1">
      <alignment horizontal="left" vertical="center" indent="1"/>
    </xf>
    <xf numFmtId="0" fontId="54" fillId="9" borderId="49" xfId="0" applyFont="1" applyFill="1" applyBorder="1" applyAlignment="1">
      <alignment horizontal="center" vertical="center" wrapText="1" readingOrder="1"/>
    </xf>
    <xf numFmtId="0" fontId="21" fillId="15" borderId="50" xfId="0" applyFont="1" applyFill="1" applyBorder="1" applyAlignment="1">
      <alignment horizontal="center" vertical="center" wrapText="1"/>
    </xf>
    <xf numFmtId="0" fontId="34" fillId="4" borderId="0" xfId="0" applyFont="1" applyFill="1" applyBorder="1" applyAlignment="1">
      <alignment horizontal="center" vertical="center"/>
    </xf>
    <xf numFmtId="0" fontId="16" fillId="4" borderId="0" xfId="0" applyFont="1" applyFill="1" applyAlignment="1">
      <alignment horizontal="left" vertical="center"/>
    </xf>
    <xf numFmtId="0" fontId="34" fillId="4" borderId="0" xfId="0" applyFont="1" applyFill="1" applyAlignment="1">
      <alignment horizontal="left" vertical="center"/>
    </xf>
    <xf numFmtId="0" fontId="19" fillId="4" borderId="9" xfId="0" applyNumberFormat="1" applyFont="1" applyFill="1" applyBorder="1" applyAlignment="1">
      <alignment horizontal="center" vertical="center"/>
    </xf>
    <xf numFmtId="49" fontId="34" fillId="4" borderId="16" xfId="0" applyNumberFormat="1" applyFont="1" applyFill="1" applyBorder="1" applyAlignment="1">
      <alignment horizontal="center" vertical="center"/>
    </xf>
    <xf numFmtId="49" fontId="34" fillId="4" borderId="8" xfId="0" applyNumberFormat="1" applyFont="1" applyFill="1" applyBorder="1" applyAlignment="1">
      <alignment horizontal="center" vertical="center"/>
    </xf>
    <xf numFmtId="49" fontId="34" fillId="4" borderId="9" xfId="0" applyNumberFormat="1" applyFont="1" applyFill="1" applyBorder="1" applyAlignment="1">
      <alignment horizontal="center" vertical="center"/>
    </xf>
    <xf numFmtId="49" fontId="34" fillId="4" borderId="4" xfId="0" applyNumberFormat="1" applyFont="1" applyFill="1" applyBorder="1" applyAlignment="1">
      <alignment horizontal="center" vertical="center"/>
    </xf>
    <xf numFmtId="10" fontId="19" fillId="4" borderId="9" xfId="0" applyNumberFormat="1" applyFont="1" applyFill="1" applyBorder="1" applyAlignment="1">
      <alignment horizontal="center" vertical="center"/>
    </xf>
    <xf numFmtId="49" fontId="34" fillId="4" borderId="5" xfId="0" applyNumberFormat="1" applyFont="1" applyFill="1" applyBorder="1" applyAlignment="1">
      <alignment horizontal="center" vertical="center"/>
    </xf>
    <xf numFmtId="49" fontId="34" fillId="4" borderId="0" xfId="0" applyNumberFormat="1" applyFont="1" applyFill="1" applyBorder="1" applyAlignment="1">
      <alignment horizontal="center" vertical="center"/>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15" xfId="0" applyFont="1" applyBorder="1" applyAlignment="1">
      <alignment horizontal="center" vertical="center" wrapText="1"/>
    </xf>
    <xf numFmtId="171" fontId="19" fillId="4" borderId="10" xfId="0" applyNumberFormat="1" applyFont="1" applyFill="1" applyBorder="1" applyAlignment="1">
      <alignment horizontal="center" vertical="center"/>
    </xf>
    <xf numFmtId="0" fontId="45" fillId="15" borderId="51" xfId="0" applyFont="1" applyFill="1" applyBorder="1" applyAlignment="1">
      <alignment horizontal="center" vertical="center"/>
    </xf>
    <xf numFmtId="0" fontId="45" fillId="15" borderId="52" xfId="0" applyFont="1" applyFill="1" applyBorder="1" applyAlignment="1">
      <alignment horizontal="center" vertical="center" wrapText="1"/>
    </xf>
    <xf numFmtId="0" fontId="45" fillId="15" borderId="53" xfId="0" applyFont="1" applyFill="1" applyBorder="1" applyAlignment="1">
      <alignment horizontal="center" vertical="center"/>
    </xf>
    <xf numFmtId="0" fontId="52" fillId="9" borderId="45" xfId="0" applyFont="1" applyFill="1" applyBorder="1" applyAlignment="1">
      <alignment horizontal="left" vertical="center" indent="1"/>
    </xf>
    <xf numFmtId="0" fontId="52" fillId="9" borderId="55" xfId="0" applyFont="1" applyFill="1" applyBorder="1" applyAlignment="1">
      <alignment horizontal="left" vertical="center" indent="1"/>
    </xf>
    <xf numFmtId="0" fontId="19" fillId="13" borderId="26" xfId="0" applyNumberFormat="1" applyFont="1" applyFill="1" applyBorder="1" applyAlignment="1" applyProtection="1">
      <alignment vertical="center" wrapText="1"/>
    </xf>
    <xf numFmtId="0" fontId="19" fillId="13" borderId="39" xfId="0" applyNumberFormat="1" applyFont="1" applyFill="1" applyBorder="1" applyAlignment="1" applyProtection="1">
      <alignment vertical="center" wrapText="1"/>
    </xf>
    <xf numFmtId="0" fontId="19" fillId="13" borderId="26" xfId="0" applyNumberFormat="1" applyFont="1" applyFill="1" applyBorder="1" applyAlignment="1" applyProtection="1">
      <alignment vertical="center"/>
    </xf>
    <xf numFmtId="0" fontId="34" fillId="4" borderId="25" xfId="0" applyFont="1" applyFill="1" applyBorder="1" applyAlignment="1">
      <alignment horizontal="center" vertical="center" wrapText="1"/>
    </xf>
    <xf numFmtId="170" fontId="16" fillId="4" borderId="17" xfId="0" applyNumberFormat="1" applyFont="1" applyFill="1" applyBorder="1" applyAlignment="1">
      <alignment horizontal="center" vertical="center" wrapText="1"/>
    </xf>
    <xf numFmtId="0" fontId="30" fillId="4" borderId="56" xfId="0" applyFont="1" applyFill="1" applyBorder="1"/>
    <xf numFmtId="0" fontId="30" fillId="4" borderId="57" xfId="0" applyFont="1" applyFill="1" applyBorder="1"/>
    <xf numFmtId="3" fontId="34" fillId="4" borderId="1" xfId="0" applyNumberFormat="1" applyFont="1" applyFill="1" applyBorder="1" applyAlignment="1">
      <alignment horizontal="right" vertical="center" wrapText="1" indent="1"/>
    </xf>
    <xf numFmtId="3" fontId="34" fillId="4" borderId="11" xfId="0" applyNumberFormat="1" applyFont="1" applyFill="1" applyBorder="1" applyAlignment="1">
      <alignment horizontal="right" vertical="center" wrapText="1" indent="1"/>
    </xf>
    <xf numFmtId="170" fontId="16" fillId="4" borderId="12" xfId="0" applyNumberFormat="1" applyFont="1" applyFill="1" applyBorder="1" applyAlignment="1">
      <alignment horizontal="center" vertical="center" wrapText="1"/>
    </xf>
    <xf numFmtId="170" fontId="16" fillId="4" borderId="13" xfId="0" applyNumberFormat="1" applyFont="1" applyFill="1" applyBorder="1" applyAlignment="1">
      <alignment horizontal="center" vertical="center" wrapText="1"/>
    </xf>
    <xf numFmtId="9" fontId="47" fillId="4" borderId="0" xfId="0" applyNumberFormat="1" applyFont="1" applyFill="1" applyBorder="1" applyAlignment="1">
      <alignment horizontal="left" vertical="center"/>
    </xf>
    <xf numFmtId="0" fontId="46" fillId="5" borderId="2" xfId="0" applyFont="1" applyFill="1" applyBorder="1" applyAlignment="1">
      <alignment horizontal="right" vertical="center"/>
    </xf>
    <xf numFmtId="0" fontId="30" fillId="4" borderId="0" xfId="0" applyFont="1" applyFill="1" applyBorder="1"/>
    <xf numFmtId="0" fontId="45" fillId="9" borderId="45" xfId="0" applyFont="1" applyFill="1" applyBorder="1" applyAlignment="1">
      <alignment horizontal="left" vertical="center" indent="1"/>
    </xf>
    <xf numFmtId="0" fontId="30" fillId="4" borderId="0" xfId="0" applyFont="1" applyFill="1"/>
    <xf numFmtId="0" fontId="0" fillId="4" borderId="0" xfId="0" applyFill="1"/>
    <xf numFmtId="0" fontId="4" fillId="4" borderId="0" xfId="0" applyFont="1" applyFill="1" applyAlignment="1">
      <alignment vertical="center" wrapText="1"/>
    </xf>
    <xf numFmtId="0" fontId="30" fillId="5" borderId="2" xfId="0" applyFont="1" applyFill="1" applyBorder="1"/>
    <xf numFmtId="0" fontId="49" fillId="4" borderId="0" xfId="0" applyFont="1" applyFill="1"/>
    <xf numFmtId="0" fontId="47" fillId="4" borderId="0" xfId="0" applyFont="1" applyFill="1" applyBorder="1" applyAlignment="1">
      <alignment horizontal="left" vertical="center"/>
    </xf>
    <xf numFmtId="170" fontId="19" fillId="4" borderId="16" xfId="0" applyNumberFormat="1" applyFont="1" applyFill="1" applyBorder="1" applyAlignment="1">
      <alignment horizontal="center" vertical="center"/>
    </xf>
    <xf numFmtId="0" fontId="47" fillId="4" borderId="0" xfId="0" applyFont="1" applyFill="1" applyBorder="1" applyAlignment="1">
      <alignment horizontal="center" vertical="center"/>
    </xf>
    <xf numFmtId="0" fontId="34" fillId="4" borderId="61" xfId="0" applyFont="1" applyFill="1" applyBorder="1" applyAlignment="1">
      <alignment horizontal="left" vertical="center" wrapText="1" indent="1"/>
    </xf>
    <xf numFmtId="0" fontId="34" fillId="4" borderId="23" xfId="0" applyFont="1" applyFill="1" applyBorder="1" applyAlignment="1">
      <alignment vertical="center"/>
    </xf>
    <xf numFmtId="170" fontId="47" fillId="4" borderId="0" xfId="0" applyNumberFormat="1" applyFont="1" applyFill="1" applyBorder="1" applyAlignment="1">
      <alignment horizontal="center" vertical="center"/>
    </xf>
    <xf numFmtId="0" fontId="47" fillId="4" borderId="9" xfId="0" applyFont="1" applyFill="1" applyBorder="1" applyAlignment="1">
      <alignment horizontal="center" vertical="center"/>
    </xf>
    <xf numFmtId="0" fontId="0" fillId="5" borderId="0" xfId="0" applyFill="1"/>
    <xf numFmtId="0" fontId="59" fillId="5" borderId="0" xfId="0" applyFont="1" applyFill="1"/>
    <xf numFmtId="0" fontId="0" fillId="4" borderId="1" xfId="0" applyFill="1" applyBorder="1"/>
    <xf numFmtId="0" fontId="52" fillId="9" borderId="54" xfId="0" applyFont="1" applyFill="1" applyBorder="1" applyAlignment="1">
      <alignment horizontal="left" vertical="center" indent="1"/>
    </xf>
    <xf numFmtId="0" fontId="58" fillId="4" borderId="70" xfId="0" applyFont="1" applyFill="1" applyBorder="1" applyAlignment="1">
      <alignment horizontal="left" vertical="center" indent="1"/>
    </xf>
    <xf numFmtId="0" fontId="34" fillId="4" borderId="0" xfId="0" applyFont="1" applyFill="1"/>
    <xf numFmtId="0" fontId="62" fillId="4" borderId="0" xfId="0" applyFont="1" applyFill="1" applyBorder="1" applyAlignment="1">
      <alignment horizontal="left" vertical="center" indent="1"/>
    </xf>
    <xf numFmtId="0" fontId="62" fillId="4" borderId="0" xfId="0" applyFont="1" applyFill="1" applyBorder="1" applyAlignment="1">
      <alignment horizontal="left" vertical="center"/>
    </xf>
    <xf numFmtId="0" fontId="62" fillId="4" borderId="0" xfId="0" applyFont="1" applyFill="1"/>
    <xf numFmtId="49" fontId="30" fillId="4" borderId="0" xfId="0" applyNumberFormat="1" applyFont="1" applyFill="1" applyBorder="1" applyAlignment="1">
      <alignment horizontal="center" vertical="center"/>
    </xf>
    <xf numFmtId="0" fontId="43" fillId="7" borderId="0" xfId="0" applyNumberFormat="1" applyFont="1" applyFill="1" applyBorder="1" applyAlignment="1">
      <alignment horizontal="center" vertical="center" wrapText="1"/>
    </xf>
    <xf numFmtId="0" fontId="30" fillId="4" borderId="0" xfId="0" applyFont="1" applyFill="1" applyBorder="1" applyAlignment="1">
      <alignment horizontal="center" vertical="center"/>
    </xf>
    <xf numFmtId="0" fontId="33" fillId="4" borderId="0" xfId="0" applyFont="1" applyFill="1" applyBorder="1" applyAlignment="1">
      <alignment horizontal="center" vertical="center" wrapText="1"/>
    </xf>
    <xf numFmtId="6" fontId="30" fillId="4" borderId="0" xfId="0" applyNumberFormat="1" applyFont="1" applyFill="1" applyBorder="1" applyAlignment="1">
      <alignment horizontal="center" vertical="center"/>
    </xf>
    <xf numFmtId="0" fontId="6" fillId="4" borderId="0" xfId="0" applyFont="1" applyFill="1" applyBorder="1" applyAlignment="1">
      <alignment horizontal="left" vertical="center" indent="1"/>
    </xf>
    <xf numFmtId="0" fontId="42"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1"/>
    </xf>
    <xf numFmtId="0" fontId="4" fillId="4" borderId="0" xfId="0" applyFont="1" applyFill="1" applyAlignment="1">
      <alignment horizontal="right" vertical="center" wrapText="1"/>
    </xf>
    <xf numFmtId="0" fontId="52" fillId="14" borderId="0" xfId="0" applyFont="1" applyFill="1" applyAlignment="1">
      <alignment horizontal="center" vertical="center"/>
    </xf>
    <xf numFmtId="0" fontId="45" fillId="9" borderId="0" xfId="0" applyFont="1" applyFill="1" applyBorder="1" applyAlignment="1">
      <alignment horizontal="center" vertical="center"/>
    </xf>
    <xf numFmtId="0" fontId="45" fillId="9" borderId="37" xfId="0" applyFont="1" applyFill="1" applyBorder="1" applyAlignment="1">
      <alignment horizontal="center" vertical="center"/>
    </xf>
    <xf numFmtId="0" fontId="45" fillId="9" borderId="36" xfId="0" applyFont="1" applyFill="1" applyBorder="1" applyAlignment="1">
      <alignment horizontal="center" vertical="center"/>
    </xf>
    <xf numFmtId="170" fontId="34" fillId="4" borderId="6" xfId="0" applyNumberFormat="1" applyFont="1" applyFill="1" applyBorder="1" applyAlignment="1">
      <alignment horizontal="center" vertical="center"/>
    </xf>
    <xf numFmtId="0" fontId="34" fillId="4" borderId="17" xfId="0" applyFont="1" applyFill="1" applyBorder="1" applyAlignment="1">
      <alignment horizontal="left" vertical="center" wrapText="1" indent="1"/>
    </xf>
    <xf numFmtId="0" fontId="47" fillId="4" borderId="11" xfId="0" applyFont="1" applyFill="1" applyBorder="1" applyAlignment="1">
      <alignment horizontal="center" vertical="center"/>
    </xf>
    <xf numFmtId="0" fontId="47" fillId="4" borderId="12" xfId="0" applyFont="1" applyFill="1" applyBorder="1" applyAlignment="1">
      <alignment horizontal="center" vertical="center"/>
    </xf>
    <xf numFmtId="0" fontId="47" fillId="4" borderId="1" xfId="0" applyFont="1" applyFill="1" applyBorder="1" applyAlignment="1">
      <alignment horizontal="center" vertical="center"/>
    </xf>
    <xf numFmtId="170" fontId="47" fillId="4" borderId="7" xfId="0" applyNumberFormat="1" applyFont="1" applyFill="1" applyBorder="1" applyAlignment="1">
      <alignment horizontal="center" vertical="center"/>
    </xf>
    <xf numFmtId="170" fontId="47" fillId="4" borderId="0" xfId="0" applyNumberFormat="1" applyFont="1" applyFill="1" applyBorder="1" applyAlignment="1">
      <alignment horizontal="right" vertical="center" indent="1"/>
    </xf>
    <xf numFmtId="0" fontId="34" fillId="4" borderId="20" xfId="0" applyFont="1" applyFill="1" applyBorder="1" applyAlignment="1">
      <alignment horizontal="left" vertical="center" wrapText="1" indent="1"/>
    </xf>
    <xf numFmtId="0" fontId="47" fillId="4" borderId="0" xfId="8" applyNumberFormat="1" applyFont="1" applyFill="1" applyBorder="1" applyAlignment="1">
      <alignment horizontal="center" vertical="center"/>
    </xf>
    <xf numFmtId="0" fontId="34" fillId="4" borderId="1" xfId="0" applyFont="1" applyFill="1" applyBorder="1" applyAlignment="1">
      <alignment horizontal="center" vertical="center" wrapText="1"/>
    </xf>
    <xf numFmtId="166" fontId="41" fillId="4" borderId="0" xfId="0" applyNumberFormat="1" applyFont="1" applyFill="1" applyBorder="1" applyAlignment="1">
      <alignment horizontal="center" vertical="center"/>
    </xf>
    <xf numFmtId="170" fontId="34" fillId="4" borderId="22" xfId="0" applyNumberFormat="1" applyFont="1" applyFill="1" applyBorder="1" applyAlignment="1">
      <alignment horizontal="center" vertical="center"/>
    </xf>
    <xf numFmtId="170" fontId="34" fillId="4" borderId="13" xfId="0" applyNumberFormat="1" applyFont="1" applyFill="1" applyBorder="1" applyAlignment="1">
      <alignment horizontal="center" vertical="center"/>
    </xf>
    <xf numFmtId="0" fontId="45" fillId="9" borderId="0" xfId="0" applyFont="1" applyFill="1" applyBorder="1" applyAlignment="1">
      <alignment horizontal="center" vertical="center" wrapText="1"/>
    </xf>
    <xf numFmtId="0" fontId="45" fillId="9" borderId="36" xfId="0" applyFont="1" applyFill="1" applyBorder="1" applyAlignment="1">
      <alignment horizontal="center" vertical="center" wrapText="1"/>
    </xf>
    <xf numFmtId="0" fontId="34" fillId="4" borderId="23" xfId="0" applyFont="1" applyFill="1" applyBorder="1" applyAlignment="1">
      <alignment horizontal="left" vertical="center" wrapText="1" indent="1"/>
    </xf>
    <xf numFmtId="0" fontId="7" fillId="4" borderId="0" xfId="0" applyFont="1" applyFill="1" applyBorder="1" applyAlignment="1">
      <alignment horizontal="center" vertical="center"/>
    </xf>
    <xf numFmtId="0" fontId="45" fillId="9" borderId="51" xfId="0" applyFont="1" applyFill="1" applyBorder="1" applyAlignment="1">
      <alignment horizontal="center" vertical="center"/>
    </xf>
    <xf numFmtId="0" fontId="19" fillId="4" borderId="0" xfId="0" applyFont="1" applyFill="1" applyBorder="1" applyAlignment="1">
      <alignment horizontal="center" vertical="center"/>
    </xf>
    <xf numFmtId="49" fontId="19" fillId="4" borderId="8" xfId="0" applyNumberFormat="1" applyFont="1" applyFill="1" applyBorder="1" applyAlignment="1">
      <alignment horizontal="center" vertical="center"/>
    </xf>
    <xf numFmtId="49" fontId="19" fillId="4" borderId="9" xfId="0" applyNumberFormat="1" applyFont="1" applyFill="1" applyBorder="1" applyAlignment="1">
      <alignment horizontal="center" vertical="center"/>
    </xf>
    <xf numFmtId="0" fontId="2" fillId="4" borderId="0" xfId="0" applyNumberFormat="1" applyFont="1" applyFill="1" applyBorder="1" applyAlignment="1">
      <alignment horizontal="left" vertical="center" wrapText="1"/>
    </xf>
    <xf numFmtId="0" fontId="55" fillId="9" borderId="37" xfId="0" applyFont="1" applyFill="1" applyBorder="1" applyAlignment="1">
      <alignment horizontal="center" vertical="center" wrapText="1"/>
    </xf>
    <xf numFmtId="0" fontId="3" fillId="4" borderId="0" xfId="0" applyNumberFormat="1" applyFont="1" applyFill="1" applyBorder="1" applyAlignment="1">
      <alignment horizontal="left" vertical="center" wrapText="1"/>
    </xf>
    <xf numFmtId="0" fontId="8" fillId="4" borderId="0" xfId="0" applyFont="1" applyFill="1" applyAlignment="1">
      <alignment horizontal="left" vertical="top" wrapText="1"/>
    </xf>
    <xf numFmtId="6" fontId="2" fillId="4" borderId="0" xfId="0" applyNumberFormat="1" applyFont="1" applyFill="1" applyBorder="1" applyAlignment="1">
      <alignment horizontal="center" vertical="center" wrapText="1"/>
    </xf>
    <xf numFmtId="0" fontId="34" fillId="4" borderId="0" xfId="0" applyFont="1" applyFill="1" applyAlignment="1"/>
    <xf numFmtId="0" fontId="43" fillId="7" borderId="0" xfId="0" applyNumberFormat="1" applyFont="1" applyFill="1" applyBorder="1" applyAlignment="1">
      <alignment horizontal="center" vertical="center" wrapText="1"/>
    </xf>
    <xf numFmtId="170" fontId="34" fillId="13" borderId="12" xfId="0" applyNumberFormat="1" applyFont="1" applyFill="1" applyBorder="1" applyAlignment="1">
      <alignment horizontal="center" vertical="center"/>
    </xf>
    <xf numFmtId="170" fontId="34" fillId="4" borderId="17" xfId="0" applyNumberFormat="1" applyFont="1" applyFill="1" applyBorder="1" applyAlignment="1">
      <alignment horizontal="center" vertical="center"/>
    </xf>
    <xf numFmtId="0" fontId="45" fillId="9" borderId="0" xfId="0" applyFont="1" applyFill="1" applyBorder="1" applyAlignment="1">
      <alignment horizontal="left" vertical="center" indent="1"/>
    </xf>
    <xf numFmtId="0" fontId="19" fillId="4" borderId="17"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9" xfId="0" applyFont="1" applyFill="1" applyBorder="1" applyAlignment="1">
      <alignment horizontal="center" vertical="center"/>
    </xf>
    <xf numFmtId="166" fontId="34" fillId="13" borderId="38" xfId="0" applyNumberFormat="1" applyFont="1" applyFill="1" applyBorder="1" applyAlignment="1">
      <alignment horizontal="center" vertical="center"/>
    </xf>
    <xf numFmtId="0" fontId="34" fillId="0" borderId="55" xfId="0" applyFont="1" applyFill="1" applyBorder="1" applyAlignment="1">
      <alignment horizontal="center" vertical="center" textRotation="90"/>
    </xf>
    <xf numFmtId="0" fontId="47" fillId="13" borderId="0" xfId="0" applyFont="1" applyFill="1" applyAlignment="1">
      <alignment horizontal="left" indent="1"/>
    </xf>
    <xf numFmtId="0" fontId="0" fillId="0" borderId="55" xfId="0" applyBorder="1"/>
    <xf numFmtId="0" fontId="30" fillId="4" borderId="55" xfId="0" applyFont="1" applyFill="1" applyBorder="1"/>
    <xf numFmtId="0" fontId="0" fillId="0" borderId="92" xfId="0" applyBorder="1"/>
    <xf numFmtId="0" fontId="63" fillId="0" borderId="0" xfId="0" applyFont="1"/>
    <xf numFmtId="0" fontId="45" fillId="9" borderId="72" xfId="0" applyFont="1" applyFill="1" applyBorder="1" applyAlignment="1">
      <alignment horizontal="center" vertical="center"/>
    </xf>
    <xf numFmtId="0" fontId="19" fillId="4" borderId="0" xfId="0" applyFont="1" applyFill="1" applyBorder="1" applyAlignment="1">
      <alignment horizontal="center" vertical="center"/>
    </xf>
    <xf numFmtId="9" fontId="52" fillId="9" borderId="0" xfId="0" applyNumberFormat="1" applyFont="1" applyFill="1" applyBorder="1" applyAlignment="1">
      <alignment vertical="center"/>
    </xf>
    <xf numFmtId="9" fontId="47" fillId="4" borderId="8" xfId="0" applyNumberFormat="1" applyFont="1" applyFill="1" applyBorder="1" applyAlignment="1">
      <alignment horizontal="left" vertical="center" indent="1"/>
    </xf>
    <xf numFmtId="9" fontId="47" fillId="4" borderId="9" xfId="0" applyNumberFormat="1" applyFont="1" applyFill="1" applyBorder="1" applyAlignment="1">
      <alignment horizontal="left" vertical="center" indent="1"/>
    </xf>
    <xf numFmtId="9" fontId="47" fillId="4" borderId="10" xfId="0" applyNumberFormat="1" applyFont="1" applyFill="1" applyBorder="1" applyAlignment="1">
      <alignment horizontal="left" vertical="center" indent="1"/>
    </xf>
    <xf numFmtId="0" fontId="52" fillId="9" borderId="0" xfId="0" applyFont="1" applyFill="1" applyBorder="1" applyAlignment="1">
      <alignment horizontal="center" vertical="center" wrapText="1"/>
    </xf>
    <xf numFmtId="170" fontId="19" fillId="4" borderId="90" xfId="0" applyNumberFormat="1" applyFont="1" applyFill="1" applyBorder="1" applyAlignment="1">
      <alignment horizontal="center" vertical="center"/>
    </xf>
    <xf numFmtId="0" fontId="34" fillId="4" borderId="0" xfId="0" applyFont="1" applyFill="1" applyBorder="1" applyAlignment="1">
      <alignment horizontal="left" vertical="center" wrapText="1" indent="1"/>
    </xf>
    <xf numFmtId="0" fontId="34" fillId="4" borderId="57" xfId="0" applyFont="1" applyFill="1" applyBorder="1" applyAlignment="1">
      <alignment horizontal="left" vertical="center" wrapText="1" indent="1"/>
    </xf>
    <xf numFmtId="0" fontId="64" fillId="4" borderId="0" xfId="0" applyFont="1" applyFill="1" applyBorder="1" applyAlignment="1">
      <alignment vertical="center"/>
    </xf>
    <xf numFmtId="0" fontId="65" fillId="4" borderId="0" xfId="0" applyFont="1" applyFill="1" applyBorder="1" applyAlignment="1">
      <alignment horizontal="left" vertical="center"/>
    </xf>
    <xf numFmtId="0" fontId="30" fillId="4" borderId="94" xfId="0" applyFont="1" applyFill="1" applyBorder="1"/>
    <xf numFmtId="0" fontId="19" fillId="4" borderId="9" xfId="0" applyFont="1" applyFill="1" applyBorder="1" applyAlignment="1">
      <alignment horizontal="left" vertical="center" wrapText="1" indent="1"/>
    </xf>
    <xf numFmtId="0" fontId="19" fillId="4" borderId="5" xfId="0" applyFont="1" applyFill="1" applyBorder="1" applyAlignment="1">
      <alignment horizontal="left" vertical="center" wrapText="1" indent="1"/>
    </xf>
    <xf numFmtId="0" fontId="47" fillId="4" borderId="1" xfId="0" applyFont="1" applyFill="1" applyBorder="1" applyAlignment="1">
      <alignment horizontal="center" vertical="center"/>
    </xf>
    <xf numFmtId="0" fontId="52" fillId="4" borderId="0" xfId="0" applyFont="1" applyFill="1" applyBorder="1" applyAlignment="1">
      <alignment vertical="center"/>
    </xf>
    <xf numFmtId="0" fontId="52" fillId="4" borderId="55" xfId="0" applyFont="1" applyFill="1" applyBorder="1" applyAlignment="1">
      <alignment vertical="center"/>
    </xf>
    <xf numFmtId="0" fontId="45" fillId="9" borderId="0" xfId="0" applyFont="1" applyFill="1" applyBorder="1" applyAlignment="1">
      <alignment horizontal="center" vertical="center"/>
    </xf>
    <xf numFmtId="0" fontId="62" fillId="4" borderId="18" xfId="0" applyFont="1" applyFill="1" applyBorder="1" applyAlignment="1">
      <alignment horizontal="left" vertical="center" indent="1"/>
    </xf>
    <xf numFmtId="0" fontId="62" fillId="4" borderId="11" xfId="0" applyFont="1" applyFill="1" applyBorder="1" applyAlignment="1">
      <alignment horizontal="left" vertical="center" indent="1"/>
    </xf>
    <xf numFmtId="170" fontId="47" fillId="4" borderId="0" xfId="0" applyNumberFormat="1" applyFont="1" applyFill="1" applyBorder="1" applyAlignment="1">
      <alignment horizontal="right" vertical="center" indent="1"/>
    </xf>
    <xf numFmtId="0" fontId="52" fillId="4" borderId="0" xfId="0" applyFont="1" applyFill="1" applyBorder="1" applyAlignment="1">
      <alignment horizontal="center" vertical="center"/>
    </xf>
    <xf numFmtId="0" fontId="45" fillId="9" borderId="0" xfId="0" applyFont="1" applyFill="1" applyBorder="1" applyAlignment="1">
      <alignment horizontal="center" vertical="center" wrapText="1" readingOrder="1"/>
    </xf>
    <xf numFmtId="170" fontId="19" fillId="4" borderId="14" xfId="0" applyNumberFormat="1" applyFont="1" applyFill="1" applyBorder="1" applyAlignment="1">
      <alignment horizontal="center" vertical="center"/>
    </xf>
    <xf numFmtId="170" fontId="47" fillId="4" borderId="0" xfId="0" applyNumberFormat="1" applyFont="1" applyFill="1" applyBorder="1" applyAlignment="1">
      <alignment horizontal="right" vertical="center" indent="2"/>
    </xf>
    <xf numFmtId="170" fontId="47" fillId="4" borderId="26" xfId="0" applyNumberFormat="1" applyFont="1" applyFill="1" applyBorder="1" applyAlignment="1">
      <alignment horizontal="right" vertical="center" indent="1"/>
    </xf>
    <xf numFmtId="0" fontId="34" fillId="13" borderId="33" xfId="0" applyFont="1" applyFill="1" applyBorder="1" applyAlignment="1">
      <alignment horizontal="left" vertical="center" wrapText="1" indent="1"/>
    </xf>
    <xf numFmtId="0" fontId="34" fillId="13" borderId="28" xfId="0" applyFont="1" applyFill="1" applyBorder="1" applyAlignment="1">
      <alignment horizontal="left" vertical="center" wrapText="1" indent="1"/>
    </xf>
    <xf numFmtId="0" fontId="34" fillId="13" borderId="2" xfId="0" applyFont="1" applyFill="1" applyBorder="1" applyAlignment="1">
      <alignment horizontal="left" vertical="center" wrapText="1" indent="1"/>
    </xf>
    <xf numFmtId="0" fontId="34" fillId="13" borderId="11" xfId="0" applyFont="1" applyFill="1" applyBorder="1" applyAlignment="1">
      <alignment horizontal="left" vertical="center" wrapText="1" indent="1"/>
    </xf>
    <xf numFmtId="0" fontId="34" fillId="13" borderId="21" xfId="0" applyFont="1" applyFill="1" applyBorder="1" applyAlignment="1">
      <alignment horizontal="left" vertical="center" wrapText="1" indent="1"/>
    </xf>
    <xf numFmtId="0" fontId="34" fillId="13" borderId="7" xfId="0" applyFont="1" applyFill="1" applyBorder="1" applyAlignment="1">
      <alignment horizontal="left" vertical="center" wrapText="1" indent="1"/>
    </xf>
    <xf numFmtId="0" fontId="34" fillId="13" borderId="2" xfId="7" applyFont="1" applyFill="1" applyBorder="1" applyAlignment="1">
      <alignment horizontal="left" vertical="center" wrapText="1" indent="1"/>
    </xf>
    <xf numFmtId="0" fontId="34" fillId="13" borderId="11" xfId="7" applyFont="1" applyFill="1" applyBorder="1" applyAlignment="1">
      <alignment horizontal="left" vertical="center" wrapText="1" indent="1"/>
    </xf>
    <xf numFmtId="0" fontId="34" fillId="13" borderId="33" xfId="7" applyFont="1" applyFill="1" applyBorder="1" applyAlignment="1">
      <alignment horizontal="left" vertical="center" wrapText="1" indent="1"/>
    </xf>
    <xf numFmtId="0" fontId="34" fillId="13" borderId="28" xfId="7" applyFont="1" applyFill="1" applyBorder="1" applyAlignment="1">
      <alignment horizontal="left" vertical="center" wrapText="1" indent="1"/>
    </xf>
    <xf numFmtId="0" fontId="34" fillId="13" borderId="21" xfId="7" applyFont="1" applyFill="1" applyBorder="1" applyAlignment="1">
      <alignment horizontal="left" vertical="center" wrapText="1" indent="1"/>
    </xf>
    <xf numFmtId="0" fontId="34" fillId="13" borderId="7" xfId="7" applyFont="1" applyFill="1" applyBorder="1" applyAlignment="1">
      <alignment horizontal="left" vertical="center" wrapText="1" indent="1"/>
    </xf>
    <xf numFmtId="0" fontId="34" fillId="4" borderId="0" xfId="0" applyFont="1" applyFill="1" applyAlignment="1">
      <alignment horizontal="left" wrapText="1"/>
    </xf>
    <xf numFmtId="170" fontId="47" fillId="4" borderId="10" xfId="0" applyNumberFormat="1" applyFont="1" applyFill="1" applyBorder="1" applyAlignment="1">
      <alignment horizontal="center" vertical="center"/>
    </xf>
    <xf numFmtId="0" fontId="47" fillId="4" borderId="10" xfId="0" applyFont="1" applyFill="1" applyBorder="1" applyAlignment="1">
      <alignment horizontal="center" vertical="center"/>
    </xf>
    <xf numFmtId="170" fontId="19" fillId="4" borderId="20" xfId="0" applyNumberFormat="1" applyFont="1" applyFill="1" applyBorder="1" applyAlignment="1">
      <alignment horizontal="center" vertical="center"/>
    </xf>
    <xf numFmtId="170" fontId="34" fillId="4" borderId="6" xfId="0" applyNumberFormat="1" applyFont="1" applyFill="1" applyBorder="1" applyAlignment="1">
      <alignment horizontal="center" vertical="center"/>
    </xf>
    <xf numFmtId="170" fontId="34" fillId="4" borderId="7" xfId="0" applyNumberFormat="1" applyFont="1" applyFill="1" applyBorder="1" applyAlignment="1">
      <alignment horizontal="center" vertical="center"/>
    </xf>
    <xf numFmtId="170" fontId="34" fillId="4" borderId="17" xfId="0" applyNumberFormat="1" applyFont="1" applyFill="1" applyBorder="1" applyAlignment="1">
      <alignment horizontal="center" vertical="center"/>
    </xf>
    <xf numFmtId="170" fontId="47" fillId="4" borderId="12" xfId="0" applyNumberFormat="1" applyFont="1" applyFill="1" applyBorder="1" applyAlignment="1">
      <alignment horizontal="center" vertical="center"/>
    </xf>
    <xf numFmtId="170" fontId="47" fillId="4" borderId="8" xfId="0" applyNumberFormat="1" applyFont="1" applyFill="1" applyBorder="1" applyAlignment="1">
      <alignment horizontal="center" vertical="center"/>
    </xf>
    <xf numFmtId="170" fontId="34" fillId="13" borderId="7" xfId="0" applyNumberFormat="1" applyFont="1" applyFill="1" applyBorder="1" applyAlignment="1">
      <alignment horizontal="center" vertical="center"/>
    </xf>
    <xf numFmtId="170" fontId="34" fillId="4" borderId="12" xfId="0" applyNumberFormat="1" applyFont="1" applyFill="1" applyBorder="1" applyAlignment="1">
      <alignment horizontal="center" vertical="center"/>
    </xf>
    <xf numFmtId="170" fontId="34" fillId="4" borderId="6" xfId="0" applyNumberFormat="1" applyFont="1" applyFill="1" applyBorder="1" applyAlignment="1">
      <alignment horizontal="center" vertical="center"/>
    </xf>
    <xf numFmtId="170" fontId="34" fillId="13" borderId="7" xfId="0" applyNumberFormat="1" applyFont="1" applyFill="1" applyBorder="1" applyAlignment="1">
      <alignment horizontal="center" vertical="center"/>
    </xf>
    <xf numFmtId="170" fontId="47" fillId="4" borderId="0" xfId="0" applyNumberFormat="1" applyFont="1" applyFill="1" applyBorder="1" applyAlignment="1">
      <alignment horizontal="right" vertical="center" indent="1"/>
    </xf>
    <xf numFmtId="170" fontId="34" fillId="4" borderId="22" xfId="0" applyNumberFormat="1" applyFont="1" applyFill="1" applyBorder="1" applyAlignment="1">
      <alignment horizontal="center" vertical="center"/>
    </xf>
    <xf numFmtId="170" fontId="34" fillId="13" borderId="13" xfId="0" applyNumberFormat="1" applyFont="1" applyFill="1" applyBorder="1" applyAlignment="1">
      <alignment horizontal="center" vertical="center"/>
    </xf>
    <xf numFmtId="0" fontId="34" fillId="4" borderId="11" xfId="0" applyFont="1" applyFill="1" applyBorder="1" applyAlignment="1">
      <alignment horizontal="left" vertical="center" wrapText="1" indent="1"/>
    </xf>
    <xf numFmtId="0" fontId="52" fillId="9" borderId="55" xfId="0" applyFont="1" applyFill="1" applyBorder="1" applyAlignment="1">
      <alignment horizontal="left" vertical="center" wrapText="1" indent="1"/>
    </xf>
    <xf numFmtId="0" fontId="52" fillId="4" borderId="81" xfId="0" applyFont="1" applyFill="1" applyBorder="1" applyAlignment="1">
      <alignment vertical="center"/>
    </xf>
    <xf numFmtId="170" fontId="47" fillId="4" borderId="0" xfId="0" applyNumberFormat="1" applyFont="1" applyFill="1" applyBorder="1" applyAlignment="1">
      <alignment horizontal="right" vertical="center" indent="1"/>
    </xf>
    <xf numFmtId="0" fontId="45" fillId="9" borderId="54" xfId="0" applyFont="1" applyFill="1" applyBorder="1" applyAlignment="1">
      <alignment horizontal="left" vertical="center" wrapText="1" indent="1"/>
    </xf>
    <xf numFmtId="0" fontId="30" fillId="4" borderId="95" xfId="0" applyFont="1" applyFill="1" applyBorder="1"/>
    <xf numFmtId="0" fontId="34" fillId="4" borderId="8" xfId="0" applyFont="1" applyFill="1" applyBorder="1" applyAlignment="1">
      <alignment horizontal="center" vertical="center"/>
    </xf>
    <xf numFmtId="170" fontId="47" fillId="4" borderId="0" xfId="0" applyNumberFormat="1" applyFont="1" applyFill="1" applyBorder="1" applyAlignment="1">
      <alignment horizontal="right" vertical="center" indent="1"/>
    </xf>
    <xf numFmtId="0" fontId="34" fillId="13" borderId="29" xfId="0" applyFont="1" applyFill="1" applyBorder="1" applyAlignment="1">
      <alignment horizontal="left" vertical="center" wrapText="1" indent="1"/>
    </xf>
    <xf numFmtId="0" fontId="34" fillId="13" borderId="12" xfId="0" applyFont="1" applyFill="1" applyBorder="1" applyAlignment="1">
      <alignment horizontal="left" vertical="center" wrapText="1" indent="1"/>
    </xf>
    <xf numFmtId="170" fontId="47" fillId="13" borderId="6" xfId="0" applyNumberFormat="1" applyFont="1" applyFill="1" applyBorder="1" applyAlignment="1">
      <alignment horizontal="center" vertical="center"/>
    </xf>
    <xf numFmtId="170" fontId="34" fillId="4" borderId="30" xfId="0" applyNumberFormat="1" applyFont="1" applyFill="1" applyBorder="1" applyAlignment="1">
      <alignment horizontal="center" vertical="center"/>
    </xf>
    <xf numFmtId="170" fontId="34" fillId="4" borderId="18" xfId="0" applyNumberFormat="1" applyFont="1" applyFill="1" applyBorder="1" applyAlignment="1">
      <alignment horizontal="center" vertical="center"/>
    </xf>
    <xf numFmtId="170" fontId="34" fillId="13" borderId="19" xfId="0" applyNumberFormat="1" applyFont="1" applyFill="1" applyBorder="1" applyAlignment="1">
      <alignment horizontal="center" vertical="center"/>
    </xf>
    <xf numFmtId="170" fontId="34" fillId="13" borderId="28" xfId="0" applyNumberFormat="1" applyFont="1" applyFill="1" applyBorder="1" applyAlignment="1">
      <alignment horizontal="center" vertical="center"/>
    </xf>
    <xf numFmtId="170" fontId="34" fillId="13" borderId="19" xfId="0" applyNumberFormat="1" applyFont="1" applyFill="1" applyBorder="1" applyAlignment="1">
      <alignment horizontal="center" vertical="center" wrapText="1"/>
    </xf>
    <xf numFmtId="170" fontId="47" fillId="4" borderId="30" xfId="0" applyNumberFormat="1" applyFont="1" applyFill="1" applyBorder="1" applyAlignment="1">
      <alignment horizontal="center" vertical="center" wrapText="1"/>
    </xf>
    <xf numFmtId="170" fontId="34" fillId="13" borderId="6" xfId="0" applyNumberFormat="1" applyFont="1" applyFill="1" applyBorder="1" applyAlignment="1">
      <alignment horizontal="center" vertical="center" wrapText="1"/>
    </xf>
    <xf numFmtId="170" fontId="34" fillId="13" borderId="7" xfId="0" applyNumberFormat="1" applyFont="1" applyFill="1" applyBorder="1" applyAlignment="1">
      <alignment horizontal="center" vertical="center" wrapText="1"/>
    </xf>
    <xf numFmtId="170" fontId="34" fillId="13" borderId="22" xfId="0" applyNumberFormat="1" applyFont="1" applyFill="1" applyBorder="1" applyAlignment="1">
      <alignment horizontal="center" vertical="center" wrapText="1"/>
    </xf>
    <xf numFmtId="170" fontId="34" fillId="13" borderId="13" xfId="0" applyNumberFormat="1" applyFont="1" applyFill="1" applyBorder="1" applyAlignment="1">
      <alignment horizontal="center" vertical="center" wrapText="1"/>
    </xf>
    <xf numFmtId="170" fontId="34" fillId="4" borderId="93" xfId="0" applyNumberFormat="1" applyFont="1" applyFill="1" applyBorder="1" applyAlignment="1">
      <alignment horizontal="center" vertical="center"/>
    </xf>
    <xf numFmtId="170" fontId="34" fillId="4" borderId="30" xfId="0" applyNumberFormat="1" applyFont="1" applyFill="1" applyBorder="1" applyAlignment="1">
      <alignment horizontal="center" vertical="center" wrapText="1"/>
    </xf>
    <xf numFmtId="170" fontId="19" fillId="4" borderId="30" xfId="0" applyNumberFormat="1" applyFont="1" applyFill="1" applyBorder="1" applyAlignment="1">
      <alignment horizontal="center" vertical="center"/>
    </xf>
    <xf numFmtId="170" fontId="47" fillId="4" borderId="30" xfId="0" applyNumberFormat="1" applyFont="1" applyFill="1" applyBorder="1" applyAlignment="1">
      <alignment horizontal="center" vertical="center"/>
    </xf>
    <xf numFmtId="170" fontId="47" fillId="4" borderId="23" xfId="0" applyNumberFormat="1" applyFont="1" applyFill="1" applyBorder="1" applyAlignment="1">
      <alignment horizontal="center" vertical="center"/>
    </xf>
    <xf numFmtId="170" fontId="34" fillId="13" borderId="6" xfId="0" applyNumberFormat="1" applyFont="1" applyFill="1" applyBorder="1" applyAlignment="1">
      <alignment horizontal="center" vertical="center"/>
    </xf>
    <xf numFmtId="170" fontId="34" fillId="13" borderId="7" xfId="0" applyNumberFormat="1" applyFont="1" applyFill="1" applyBorder="1" applyAlignment="1">
      <alignment horizontal="center" vertical="center"/>
    </xf>
    <xf numFmtId="170" fontId="34" fillId="13" borderId="22" xfId="0" applyNumberFormat="1" applyFont="1" applyFill="1" applyBorder="1" applyAlignment="1">
      <alignment horizontal="center" vertical="center"/>
    </xf>
    <xf numFmtId="170" fontId="34" fillId="13" borderId="13" xfId="0" applyNumberFormat="1" applyFont="1" applyFill="1" applyBorder="1" applyAlignment="1">
      <alignment horizontal="center" vertical="center"/>
    </xf>
    <xf numFmtId="0" fontId="57" fillId="9" borderId="36" xfId="0" applyFont="1" applyFill="1" applyBorder="1" applyAlignment="1">
      <alignment horizontal="center" vertical="center" wrapText="1"/>
    </xf>
    <xf numFmtId="0" fontId="57" fillId="9" borderId="60" xfId="0" applyFont="1" applyFill="1" applyBorder="1" applyAlignment="1">
      <alignment horizontal="center" vertical="center" wrapText="1"/>
    </xf>
    <xf numFmtId="0" fontId="45" fillId="9" borderId="0" xfId="0" applyFont="1" applyFill="1" applyBorder="1" applyAlignment="1">
      <alignment horizontal="center" vertical="center" wrapText="1"/>
    </xf>
    <xf numFmtId="170" fontId="70" fillId="4" borderId="47" xfId="0" applyNumberFormat="1" applyFont="1" applyFill="1" applyBorder="1" applyAlignment="1">
      <alignment horizontal="center" vertical="center"/>
    </xf>
    <xf numFmtId="170" fontId="70" fillId="4" borderId="23" xfId="0" applyNumberFormat="1" applyFont="1" applyFill="1" applyBorder="1" applyAlignment="1">
      <alignment horizontal="center" vertical="center"/>
    </xf>
    <xf numFmtId="170" fontId="71" fillId="4" borderId="23" xfId="0" applyNumberFormat="1" applyFont="1" applyFill="1" applyBorder="1" applyAlignment="1">
      <alignment horizontal="center" vertical="center" wrapText="1"/>
    </xf>
    <xf numFmtId="170" fontId="70" fillId="4" borderId="23" xfId="0" applyNumberFormat="1" applyFont="1" applyFill="1" applyBorder="1" applyAlignment="1">
      <alignment horizontal="center" vertical="center" wrapText="1"/>
    </xf>
    <xf numFmtId="170" fontId="71" fillId="4" borderId="23" xfId="0" applyNumberFormat="1" applyFont="1" applyFill="1" applyBorder="1" applyAlignment="1">
      <alignment horizontal="center" vertical="center"/>
    </xf>
    <xf numFmtId="170" fontId="70" fillId="13" borderId="28" xfId="0" applyNumberFormat="1" applyFont="1" applyFill="1" applyBorder="1" applyAlignment="1">
      <alignment horizontal="center" vertical="center"/>
    </xf>
    <xf numFmtId="170" fontId="70" fillId="13" borderId="13" xfId="0" applyNumberFormat="1" applyFont="1" applyFill="1" applyBorder="1" applyAlignment="1">
      <alignment horizontal="center" vertical="center"/>
    </xf>
    <xf numFmtId="170" fontId="70" fillId="13" borderId="28" xfId="0" applyNumberFormat="1" applyFont="1" applyFill="1" applyBorder="1" applyAlignment="1">
      <alignment horizontal="center" vertical="center" wrapText="1"/>
    </xf>
    <xf numFmtId="170" fontId="70" fillId="13" borderId="7" xfId="0" applyNumberFormat="1" applyFont="1" applyFill="1" applyBorder="1" applyAlignment="1">
      <alignment horizontal="center" vertical="center" wrapText="1"/>
    </xf>
    <xf numFmtId="170" fontId="70" fillId="13" borderId="13" xfId="0" applyNumberFormat="1" applyFont="1" applyFill="1" applyBorder="1" applyAlignment="1">
      <alignment horizontal="center" vertical="center" wrapText="1"/>
    </xf>
    <xf numFmtId="170" fontId="70" fillId="13" borderId="7" xfId="0" applyNumberFormat="1" applyFont="1" applyFill="1" applyBorder="1" applyAlignment="1">
      <alignment horizontal="center" vertical="center"/>
    </xf>
    <xf numFmtId="6" fontId="30" fillId="4" borderId="0" xfId="0" applyNumberFormat="1" applyFont="1" applyFill="1" applyBorder="1" applyAlignment="1">
      <alignment horizontal="center" vertical="center"/>
    </xf>
    <xf numFmtId="170" fontId="70" fillId="4" borderId="11" xfId="0" applyNumberFormat="1" applyFont="1" applyFill="1" applyBorder="1" applyAlignment="1">
      <alignment horizontal="center" vertical="center"/>
    </xf>
    <xf numFmtId="0" fontId="23" fillId="4" borderId="10" xfId="0" applyFont="1" applyFill="1" applyBorder="1" applyAlignment="1">
      <alignment horizontal="center" vertical="center" wrapText="1" readingOrder="1"/>
    </xf>
    <xf numFmtId="0" fontId="23" fillId="4" borderId="8" xfId="0" applyFont="1" applyFill="1" applyBorder="1" applyAlignment="1">
      <alignment horizontal="center" vertical="center" wrapText="1" readingOrder="1"/>
    </xf>
    <xf numFmtId="0" fontId="23" fillId="4" borderId="9" xfId="0" applyFont="1" applyFill="1" applyBorder="1" applyAlignment="1">
      <alignment horizontal="center" vertical="center" wrapText="1" readingOrder="1"/>
    </xf>
    <xf numFmtId="170" fontId="34" fillId="13" borderId="2" xfId="0" applyNumberFormat="1" applyFont="1" applyFill="1" applyBorder="1" applyAlignment="1">
      <alignment horizontal="center" vertical="center"/>
    </xf>
    <xf numFmtId="0" fontId="42" fillId="5" borderId="2" xfId="0" applyFont="1" applyFill="1" applyBorder="1" applyAlignment="1"/>
    <xf numFmtId="0" fontId="62" fillId="4" borderId="17" xfId="0" applyFont="1" applyFill="1" applyBorder="1" applyAlignment="1">
      <alignment horizontal="left" vertical="center" indent="1"/>
    </xf>
    <xf numFmtId="0" fontId="52" fillId="9" borderId="0" xfId="0" applyFont="1" applyFill="1" applyAlignment="1">
      <alignment horizontal="center" vertical="center"/>
    </xf>
    <xf numFmtId="170" fontId="47" fillId="4" borderId="10" xfId="0" applyNumberFormat="1" applyFont="1" applyFill="1" applyBorder="1" applyAlignment="1">
      <alignment horizontal="center" vertical="center"/>
    </xf>
    <xf numFmtId="170" fontId="47" fillId="4" borderId="0" xfId="0" applyNumberFormat="1" applyFont="1" applyFill="1" applyBorder="1" applyAlignment="1">
      <alignment horizontal="right" vertical="center" indent="1"/>
    </xf>
    <xf numFmtId="0" fontId="47" fillId="4" borderId="0" xfId="0" applyFont="1" applyFill="1" applyBorder="1" applyAlignment="1">
      <alignment horizontal="center" vertical="center" wrapText="1"/>
    </xf>
    <xf numFmtId="170" fontId="47" fillId="4" borderId="17" xfId="0" applyNumberFormat="1" applyFont="1" applyFill="1" applyBorder="1" applyAlignment="1">
      <alignment horizontal="center" vertical="center"/>
    </xf>
    <xf numFmtId="170" fontId="47" fillId="4" borderId="22" xfId="0" applyNumberFormat="1" applyFont="1" applyFill="1" applyBorder="1" applyAlignment="1">
      <alignment horizontal="center" vertical="center"/>
    </xf>
    <xf numFmtId="0" fontId="52" fillId="9" borderId="36" xfId="0" applyFont="1" applyFill="1" applyBorder="1" applyAlignment="1">
      <alignment horizontal="center" vertical="center"/>
    </xf>
    <xf numFmtId="170" fontId="47" fillId="4" borderId="6" xfId="0" applyNumberFormat="1" applyFont="1" applyFill="1" applyBorder="1" applyAlignment="1">
      <alignment horizontal="center" vertical="center"/>
    </xf>
    <xf numFmtId="170" fontId="47" fillId="4" borderId="16" xfId="0" applyNumberFormat="1" applyFont="1" applyFill="1" applyBorder="1" applyAlignment="1">
      <alignment horizontal="center" vertical="center"/>
    </xf>
    <xf numFmtId="170" fontId="47" fillId="4" borderId="10" xfId="0" applyNumberFormat="1" applyFont="1" applyFill="1" applyBorder="1" applyAlignment="1">
      <alignment horizontal="center" vertical="center"/>
    </xf>
    <xf numFmtId="170" fontId="47" fillId="4" borderId="0" xfId="0" applyNumberFormat="1" applyFont="1" applyFill="1" applyBorder="1" applyAlignment="1">
      <alignment horizontal="right" vertical="center" indent="1"/>
    </xf>
    <xf numFmtId="170" fontId="47" fillId="4" borderId="8" xfId="0" applyNumberFormat="1" applyFont="1" applyFill="1" applyBorder="1" applyAlignment="1">
      <alignment horizontal="center" vertical="center"/>
    </xf>
    <xf numFmtId="170" fontId="52" fillId="9" borderId="0" xfId="0" applyNumberFormat="1" applyFont="1" applyFill="1" applyBorder="1" applyAlignment="1">
      <alignment horizontal="center" vertical="center"/>
    </xf>
    <xf numFmtId="170" fontId="47" fillId="4" borderId="9" xfId="0" applyNumberFormat="1" applyFont="1" applyFill="1" applyBorder="1" applyAlignment="1">
      <alignment horizontal="center" vertical="center"/>
    </xf>
    <xf numFmtId="170" fontId="47" fillId="4" borderId="8" xfId="0" applyNumberFormat="1" applyFont="1" applyFill="1" applyBorder="1" applyAlignment="1">
      <alignment horizontal="center" vertical="center"/>
    </xf>
    <xf numFmtId="0" fontId="52" fillId="9" borderId="36" xfId="0" applyFont="1" applyFill="1" applyBorder="1" applyAlignment="1">
      <alignment horizontal="center" vertical="center"/>
    </xf>
    <xf numFmtId="170" fontId="47" fillId="4" borderId="3" xfId="0" applyNumberFormat="1" applyFont="1" applyFill="1" applyBorder="1" applyAlignment="1">
      <alignment horizontal="center" vertical="center"/>
    </xf>
    <xf numFmtId="170" fontId="52" fillId="9" borderId="0" xfId="0" applyNumberFormat="1" applyFont="1" applyFill="1" applyBorder="1" applyAlignment="1">
      <alignment horizontal="center" vertical="center"/>
    </xf>
    <xf numFmtId="170" fontId="47" fillId="4" borderId="0" xfId="0" applyNumberFormat="1" applyFont="1" applyFill="1" applyBorder="1" applyAlignment="1">
      <alignment horizontal="right" vertical="center" indent="1"/>
    </xf>
    <xf numFmtId="0" fontId="72" fillId="9" borderId="36" xfId="0" applyFont="1" applyFill="1" applyBorder="1" applyAlignment="1">
      <alignment horizontal="center" vertical="center"/>
    </xf>
    <xf numFmtId="170" fontId="47" fillId="4" borderId="0" xfId="0" applyNumberFormat="1" applyFont="1" applyFill="1" applyBorder="1" applyAlignment="1">
      <alignment vertical="center"/>
    </xf>
    <xf numFmtId="170" fontId="52" fillId="4" borderId="0" xfId="0" applyNumberFormat="1" applyFont="1" applyFill="1" applyBorder="1" applyAlignment="1">
      <alignment vertical="center"/>
    </xf>
    <xf numFmtId="0" fontId="46" fillId="5" borderId="2" xfId="0" applyFont="1" applyFill="1" applyBorder="1" applyAlignment="1">
      <alignment horizontal="right"/>
    </xf>
    <xf numFmtId="0" fontId="26" fillId="4" borderId="0" xfId="5" applyFill="1" applyBorder="1" applyAlignment="1">
      <alignment horizontal="left" vertical="center"/>
    </xf>
    <xf numFmtId="170" fontId="47" fillId="13" borderId="6" xfId="0" applyNumberFormat="1" applyFont="1" applyFill="1" applyBorder="1" applyAlignment="1">
      <alignment horizontal="center" vertical="center"/>
    </xf>
    <xf numFmtId="170" fontId="34" fillId="13" borderId="19" xfId="0" applyNumberFormat="1" applyFont="1" applyFill="1" applyBorder="1" applyAlignment="1">
      <alignment horizontal="center" vertical="center"/>
    </xf>
    <xf numFmtId="170" fontId="34" fillId="13" borderId="6" xfId="0" applyNumberFormat="1" applyFont="1" applyFill="1" applyBorder="1" applyAlignment="1">
      <alignment horizontal="center" vertical="center"/>
    </xf>
    <xf numFmtId="170" fontId="34" fillId="13" borderId="22" xfId="0" applyNumberFormat="1" applyFont="1" applyFill="1" applyBorder="1" applyAlignment="1">
      <alignment horizontal="center" vertical="center"/>
    </xf>
    <xf numFmtId="170" fontId="70" fillId="13" borderId="28" xfId="0" applyNumberFormat="1" applyFont="1" applyFill="1" applyBorder="1" applyAlignment="1">
      <alignment horizontal="center" vertical="center"/>
    </xf>
    <xf numFmtId="170" fontId="70" fillId="13" borderId="13" xfId="0" applyNumberFormat="1" applyFont="1" applyFill="1" applyBorder="1" applyAlignment="1">
      <alignment horizontal="center" vertical="center"/>
    </xf>
    <xf numFmtId="170" fontId="70" fillId="13" borderId="7" xfId="0" applyNumberFormat="1" applyFont="1" applyFill="1" applyBorder="1" applyAlignment="1">
      <alignment horizontal="center" vertical="center"/>
    </xf>
    <xf numFmtId="0" fontId="0" fillId="4" borderId="0" xfId="0" applyFill="1"/>
    <xf numFmtId="0" fontId="0" fillId="4" borderId="0" xfId="0" applyFill="1" applyBorder="1"/>
    <xf numFmtId="0" fontId="47" fillId="4" borderId="0" xfId="0" applyFont="1" applyFill="1" applyBorder="1" applyAlignment="1">
      <alignment horizontal="center" vertical="center"/>
    </xf>
    <xf numFmtId="0" fontId="62" fillId="4" borderId="0" xfId="0" applyFont="1" applyFill="1" applyBorder="1" applyAlignment="1">
      <alignment horizontal="left" vertical="center" indent="1"/>
    </xf>
    <xf numFmtId="0" fontId="47" fillId="4" borderId="0" xfId="0" applyFont="1" applyFill="1" applyBorder="1" applyAlignment="1">
      <alignment vertical="center"/>
    </xf>
    <xf numFmtId="170" fontId="34" fillId="13" borderId="19" xfId="0" applyNumberFormat="1" applyFont="1" applyFill="1" applyBorder="1" applyAlignment="1">
      <alignment horizontal="center" vertical="center" wrapText="1"/>
    </xf>
    <xf numFmtId="170" fontId="34" fillId="13" borderId="6" xfId="0" applyNumberFormat="1" applyFont="1" applyFill="1" applyBorder="1" applyAlignment="1">
      <alignment horizontal="center" vertical="center" wrapText="1"/>
    </xf>
    <xf numFmtId="170" fontId="34" fillId="13" borderId="22" xfId="0" applyNumberFormat="1" applyFont="1" applyFill="1" applyBorder="1" applyAlignment="1">
      <alignment horizontal="center" vertical="center" wrapText="1"/>
    </xf>
    <xf numFmtId="170" fontId="70" fillId="13" borderId="28" xfId="0" applyNumberFormat="1" applyFont="1" applyFill="1" applyBorder="1" applyAlignment="1">
      <alignment horizontal="center" vertical="center" wrapText="1"/>
    </xf>
    <xf numFmtId="170" fontId="70" fillId="13" borderId="7" xfId="0" applyNumberFormat="1" applyFont="1" applyFill="1" applyBorder="1" applyAlignment="1">
      <alignment horizontal="center" vertical="center" wrapText="1"/>
    </xf>
    <xf numFmtId="170" fontId="34" fillId="4" borderId="20" xfId="0" applyNumberFormat="1" applyFont="1" applyFill="1" applyBorder="1" applyAlignment="1">
      <alignment horizontal="center" vertical="center"/>
    </xf>
    <xf numFmtId="0" fontId="34" fillId="4" borderId="35" xfId="0" applyFont="1" applyFill="1" applyBorder="1" applyAlignment="1">
      <alignment horizontal="center" vertical="center"/>
    </xf>
    <xf numFmtId="170" fontId="47" fillId="4" borderId="12" xfId="0" applyNumberFormat="1" applyFont="1" applyFill="1" applyBorder="1" applyAlignment="1">
      <alignment horizontal="center" vertical="center"/>
    </xf>
    <xf numFmtId="170" fontId="47" fillId="4" borderId="13" xfId="0" applyNumberFormat="1" applyFont="1" applyFill="1" applyBorder="1" applyAlignment="1">
      <alignment horizontal="center" vertical="center"/>
    </xf>
    <xf numFmtId="170" fontId="47" fillId="4" borderId="0" xfId="0" applyNumberFormat="1" applyFont="1" applyFill="1" applyBorder="1" applyAlignment="1">
      <alignment horizontal="center" vertical="center"/>
    </xf>
    <xf numFmtId="0" fontId="34" fillId="4" borderId="11" xfId="0" applyFont="1" applyFill="1" applyBorder="1" applyAlignment="1">
      <alignment horizontal="left" vertical="center" wrapText="1" indent="1"/>
    </xf>
    <xf numFmtId="0" fontId="47" fillId="4" borderId="5" xfId="0" applyFont="1" applyFill="1" applyBorder="1" applyAlignment="1">
      <alignment horizontal="center" vertical="center"/>
    </xf>
    <xf numFmtId="0" fontId="52" fillId="17" borderId="26" xfId="0" applyFont="1" applyFill="1" applyBorder="1" applyAlignment="1">
      <alignment horizontal="center" vertical="center"/>
    </xf>
    <xf numFmtId="170" fontId="52" fillId="17" borderId="96" xfId="0" applyNumberFormat="1" applyFont="1" applyFill="1" applyBorder="1" applyAlignment="1">
      <alignment horizontal="center" vertical="center"/>
    </xf>
    <xf numFmtId="0" fontId="52" fillId="24" borderId="0" xfId="0" applyFont="1" applyFill="1" applyBorder="1" applyAlignment="1">
      <alignment horizontal="center" vertical="center"/>
    </xf>
    <xf numFmtId="170" fontId="52" fillId="24" borderId="97" xfId="0" applyNumberFormat="1" applyFont="1" applyFill="1" applyBorder="1" applyAlignment="1">
      <alignment horizontal="center" vertical="center"/>
    </xf>
    <xf numFmtId="0" fontId="45" fillId="9" borderId="0" xfId="0" applyFont="1" applyFill="1" applyBorder="1" applyAlignment="1">
      <alignment horizontal="center" vertical="center" wrapText="1"/>
    </xf>
    <xf numFmtId="0" fontId="57" fillId="9" borderId="36" xfId="0" applyFont="1" applyFill="1" applyBorder="1" applyAlignment="1">
      <alignment horizontal="center" vertical="center" wrapText="1"/>
    </xf>
    <xf numFmtId="0" fontId="30" fillId="9" borderId="0" xfId="0" applyFont="1" applyFill="1"/>
    <xf numFmtId="0" fontId="10" fillId="9" borderId="36" xfId="0" applyFont="1" applyFill="1" applyBorder="1" applyAlignment="1">
      <alignment vertical="center"/>
    </xf>
    <xf numFmtId="170" fontId="19" fillId="4" borderId="18" xfId="0" applyNumberFormat="1" applyFont="1" applyFill="1" applyBorder="1" applyAlignment="1">
      <alignment horizontal="center" vertical="center"/>
    </xf>
    <xf numFmtId="170" fontId="19" fillId="4" borderId="100" xfId="0" applyNumberFormat="1" applyFont="1" applyFill="1" applyBorder="1" applyAlignment="1">
      <alignment horizontal="center" vertical="center"/>
    </xf>
    <xf numFmtId="170" fontId="19" fillId="4" borderId="30" xfId="0" applyNumberFormat="1" applyFont="1" applyFill="1" applyBorder="1" applyAlignment="1">
      <alignment horizontal="center" vertical="center"/>
    </xf>
    <xf numFmtId="170" fontId="19" fillId="4" borderId="30" xfId="0" applyNumberFormat="1" applyFont="1" applyFill="1" applyBorder="1" applyAlignment="1">
      <alignment horizontal="center" vertical="center"/>
    </xf>
    <xf numFmtId="170" fontId="19" fillId="4" borderId="30" xfId="0" applyNumberFormat="1" applyFont="1" applyFill="1" applyBorder="1" applyAlignment="1">
      <alignment horizontal="center" vertical="center"/>
    </xf>
    <xf numFmtId="170" fontId="19" fillId="4" borderId="10" xfId="0" applyNumberFormat="1" applyFont="1" applyFill="1" applyBorder="1" applyAlignment="1">
      <alignment horizontal="center" vertical="center"/>
    </xf>
    <xf numFmtId="0" fontId="34" fillId="4" borderId="11" xfId="0" applyFont="1" applyFill="1" applyBorder="1" applyAlignment="1">
      <alignment horizontal="left" vertical="center" wrapText="1" indent="1"/>
    </xf>
    <xf numFmtId="0" fontId="34" fillId="4" borderId="23" xfId="0" applyFont="1" applyFill="1" applyBorder="1" applyAlignment="1">
      <alignment horizontal="left" vertical="center" wrapText="1" indent="1"/>
    </xf>
    <xf numFmtId="0" fontId="30" fillId="4" borderId="18" xfId="0" applyFont="1" applyFill="1" applyBorder="1" applyAlignment="1">
      <alignment horizontal="center" vertical="center"/>
    </xf>
    <xf numFmtId="0" fontId="30" fillId="4" borderId="2" xfId="0" applyFont="1" applyFill="1" applyBorder="1" applyAlignment="1">
      <alignment horizontal="center" vertical="center"/>
    </xf>
    <xf numFmtId="170" fontId="34" fillId="13" borderId="18" xfId="0" applyNumberFormat="1" applyFont="1" applyFill="1" applyBorder="1" applyAlignment="1">
      <alignment horizontal="center" vertical="center"/>
    </xf>
    <xf numFmtId="170" fontId="34" fillId="13" borderId="33" xfId="0" applyNumberFormat="1" applyFont="1" applyFill="1" applyBorder="1" applyAlignment="1">
      <alignment horizontal="center" vertical="center"/>
    </xf>
    <xf numFmtId="170" fontId="34" fillId="13" borderId="21" xfId="0" applyNumberFormat="1" applyFont="1" applyFill="1" applyBorder="1" applyAlignment="1">
      <alignment horizontal="center" vertical="center"/>
    </xf>
    <xf numFmtId="170" fontId="34" fillId="13" borderId="31" xfId="0" applyNumberFormat="1" applyFont="1" applyFill="1" applyBorder="1" applyAlignment="1">
      <alignment horizontal="center" vertical="center"/>
    </xf>
    <xf numFmtId="0" fontId="76" fillId="4" borderId="11" xfId="0" applyFont="1" applyFill="1" applyBorder="1" applyAlignment="1">
      <alignment horizontal="center" vertical="center"/>
    </xf>
    <xf numFmtId="0" fontId="76" fillId="13" borderId="1" xfId="0" applyFont="1" applyFill="1" applyBorder="1" applyAlignment="1">
      <alignment horizontal="center" vertical="center"/>
    </xf>
    <xf numFmtId="0" fontId="76" fillId="13" borderId="13" xfId="0" applyFont="1" applyFill="1" applyBorder="1" applyAlignment="1">
      <alignment horizontal="center" vertical="center"/>
    </xf>
    <xf numFmtId="0" fontId="76" fillId="4" borderId="1" xfId="0" applyFont="1" applyFill="1" applyBorder="1" applyAlignment="1">
      <alignment horizontal="center" vertical="center"/>
    </xf>
    <xf numFmtId="0" fontId="76" fillId="13" borderId="28" xfId="0" applyFont="1" applyFill="1" applyBorder="1" applyAlignment="1">
      <alignment horizontal="center" vertical="center"/>
    </xf>
    <xf numFmtId="0" fontId="76" fillId="13" borderId="7" xfId="0" applyFont="1" applyFill="1" applyBorder="1" applyAlignment="1">
      <alignment horizontal="center" vertical="center"/>
    </xf>
    <xf numFmtId="0" fontId="76" fillId="13" borderId="11" xfId="0" applyFont="1" applyFill="1" applyBorder="1" applyAlignment="1">
      <alignment horizontal="center" vertical="center"/>
    </xf>
    <xf numFmtId="0" fontId="76" fillId="4" borderId="23" xfId="0" applyFont="1" applyFill="1" applyBorder="1" applyAlignment="1">
      <alignment horizontal="center" vertical="center"/>
    </xf>
    <xf numFmtId="0" fontId="77" fillId="4" borderId="11" xfId="0" applyFont="1" applyFill="1" applyBorder="1" applyAlignment="1">
      <alignment horizontal="center" vertical="center"/>
    </xf>
    <xf numFmtId="0" fontId="77" fillId="13" borderId="1" xfId="0" applyFont="1" applyFill="1" applyBorder="1" applyAlignment="1">
      <alignment horizontal="center" vertical="center"/>
    </xf>
    <xf numFmtId="0" fontId="77" fillId="13" borderId="13" xfId="0" applyFont="1" applyFill="1" applyBorder="1" applyAlignment="1">
      <alignment horizontal="center" vertical="center"/>
    </xf>
    <xf numFmtId="0" fontId="77" fillId="4" borderId="1" xfId="0" applyFont="1" applyFill="1" applyBorder="1" applyAlignment="1">
      <alignment horizontal="center" vertical="center"/>
    </xf>
    <xf numFmtId="0" fontId="77" fillId="13" borderId="28" xfId="0" applyFont="1" applyFill="1" applyBorder="1" applyAlignment="1">
      <alignment horizontal="center" vertical="center"/>
    </xf>
    <xf numFmtId="0" fontId="77" fillId="13" borderId="7" xfId="0" applyFont="1" applyFill="1" applyBorder="1" applyAlignment="1">
      <alignment horizontal="center" vertical="center"/>
    </xf>
    <xf numFmtId="0" fontId="77" fillId="13" borderId="11" xfId="0" applyFont="1" applyFill="1" applyBorder="1" applyAlignment="1">
      <alignment horizontal="center" vertical="center"/>
    </xf>
    <xf numFmtId="0" fontId="78" fillId="4" borderId="11" xfId="0" applyFont="1" applyFill="1" applyBorder="1" applyAlignment="1">
      <alignment horizontal="center" vertical="center"/>
    </xf>
    <xf numFmtId="0" fontId="78" fillId="13" borderId="28" xfId="0" applyFont="1" applyFill="1" applyBorder="1" applyAlignment="1">
      <alignment horizontal="center" vertical="center"/>
    </xf>
    <xf numFmtId="0" fontId="78" fillId="13" borderId="7" xfId="0" applyFont="1" applyFill="1" applyBorder="1" applyAlignment="1">
      <alignment horizontal="center" vertical="center"/>
    </xf>
    <xf numFmtId="0" fontId="78" fillId="13" borderId="11" xfId="0" applyFont="1" applyFill="1" applyBorder="1" applyAlignment="1">
      <alignment horizontal="center" vertical="center"/>
    </xf>
    <xf numFmtId="0" fontId="77" fillId="4" borderId="23" xfId="0" applyFont="1" applyFill="1" applyBorder="1" applyAlignment="1">
      <alignment horizontal="center" vertical="center"/>
    </xf>
    <xf numFmtId="6" fontId="76" fillId="4" borderId="23" xfId="0" applyNumberFormat="1" applyFont="1" applyFill="1" applyBorder="1" applyAlignment="1">
      <alignment horizontal="center" vertical="center"/>
    </xf>
    <xf numFmtId="6" fontId="76" fillId="4" borderId="11" xfId="0" applyNumberFormat="1" applyFont="1" applyFill="1" applyBorder="1" applyAlignment="1">
      <alignment horizontal="center" vertical="center"/>
    </xf>
    <xf numFmtId="6" fontId="76" fillId="13" borderId="28" xfId="0" applyNumberFormat="1" applyFont="1" applyFill="1" applyBorder="1" applyAlignment="1">
      <alignment horizontal="center" vertical="center"/>
    </xf>
    <xf numFmtId="6" fontId="76" fillId="13" borderId="7" xfId="0" applyNumberFormat="1" applyFont="1" applyFill="1" applyBorder="1" applyAlignment="1">
      <alignment horizontal="center" vertical="center"/>
    </xf>
    <xf numFmtId="6" fontId="76" fillId="13" borderId="11" xfId="0" applyNumberFormat="1" applyFont="1" applyFill="1" applyBorder="1" applyAlignment="1">
      <alignment horizontal="center" vertical="center"/>
    </xf>
    <xf numFmtId="6" fontId="76" fillId="13" borderId="1" xfId="0" applyNumberFormat="1" applyFont="1" applyFill="1" applyBorder="1" applyAlignment="1">
      <alignment horizontal="center" vertical="center"/>
    </xf>
    <xf numFmtId="0" fontId="30" fillId="4" borderId="0" xfId="0" applyFont="1" applyFill="1" applyAlignment="1">
      <alignment horizontal="center"/>
    </xf>
    <xf numFmtId="170" fontId="19" fillId="0" borderId="99" xfId="31" applyNumberFormat="1" applyFont="1" applyFill="1" applyBorder="1" applyAlignment="1">
      <alignment horizontal="center" vertical="center"/>
    </xf>
    <xf numFmtId="0" fontId="34" fillId="4" borderId="0" xfId="0" applyFont="1" applyFill="1" applyBorder="1"/>
    <xf numFmtId="0" fontId="79" fillId="4" borderId="0" xfId="0" applyFont="1" applyFill="1" applyBorder="1" applyAlignment="1">
      <alignment horizontal="left" vertical="center" indent="1"/>
    </xf>
    <xf numFmtId="0" fontId="71" fillId="4" borderId="2" xfId="0" applyFont="1" applyFill="1" applyBorder="1" applyAlignment="1">
      <alignment horizontal="left" vertical="center" wrapText="1" indent="1"/>
    </xf>
    <xf numFmtId="172" fontId="71" fillId="4" borderId="0" xfId="0" applyNumberFormat="1" applyFont="1" applyFill="1" applyBorder="1" applyAlignment="1">
      <alignment horizontal="center" vertical="center"/>
    </xf>
    <xf numFmtId="0" fontId="34" fillId="4" borderId="95" xfId="0" applyFont="1" applyFill="1" applyBorder="1" applyAlignment="1">
      <alignment vertical="center" textRotation="90"/>
    </xf>
    <xf numFmtId="0" fontId="52" fillId="9" borderId="103" xfId="0" applyFont="1" applyFill="1" applyBorder="1" applyAlignment="1">
      <alignment horizontal="left" vertical="center" wrapText="1" indent="1"/>
    </xf>
    <xf numFmtId="170" fontId="19" fillId="0" borderId="61" xfId="31" applyNumberFormat="1" applyFont="1" applyFill="1" applyBorder="1" applyAlignment="1">
      <alignment horizontal="center" vertical="center"/>
    </xf>
    <xf numFmtId="0" fontId="45" fillId="15" borderId="73" xfId="0" applyFont="1" applyFill="1" applyBorder="1" applyAlignment="1">
      <alignment vertical="center" wrapText="1"/>
    </xf>
    <xf numFmtId="0" fontId="45" fillId="15" borderId="36" xfId="0" applyFont="1" applyFill="1" applyBorder="1" applyAlignment="1">
      <alignment vertical="center" wrapText="1"/>
    </xf>
    <xf numFmtId="0" fontId="45" fillId="15" borderId="50" xfId="0" applyFont="1" applyFill="1" applyBorder="1" applyAlignment="1">
      <alignment horizontal="center" vertical="center" wrapText="1"/>
    </xf>
    <xf numFmtId="170" fontId="34" fillId="13" borderId="17" xfId="0" applyNumberFormat="1" applyFont="1" applyFill="1" applyBorder="1" applyAlignment="1">
      <alignment horizontal="center" vertical="center" wrapText="1"/>
    </xf>
    <xf numFmtId="170" fontId="70" fillId="13" borderId="12" xfId="0" applyNumberFormat="1" applyFont="1" applyFill="1" applyBorder="1" applyAlignment="1">
      <alignment horizontal="center" vertical="center" wrapText="1"/>
    </xf>
    <xf numFmtId="170" fontId="34" fillId="13" borderId="17" xfId="0" applyNumberFormat="1" applyFont="1" applyFill="1" applyBorder="1" applyAlignment="1">
      <alignment horizontal="center" vertical="center"/>
    </xf>
    <xf numFmtId="0" fontId="76" fillId="13" borderId="12" xfId="0" applyFont="1" applyFill="1" applyBorder="1" applyAlignment="1">
      <alignment horizontal="center" vertical="center"/>
    </xf>
    <xf numFmtId="0" fontId="77" fillId="13" borderId="12" xfId="0" applyFont="1" applyFill="1" applyBorder="1" applyAlignment="1">
      <alignment horizontal="center" vertical="center"/>
    </xf>
    <xf numFmtId="170" fontId="47" fillId="4" borderId="8" xfId="8" applyNumberFormat="1" applyFont="1" applyFill="1" applyBorder="1" applyAlignment="1">
      <alignment horizontal="center" vertical="center"/>
    </xf>
    <xf numFmtId="170" fontId="47" fillId="4" borderId="12" xfId="8" applyNumberFormat="1" applyFont="1" applyFill="1" applyBorder="1" applyAlignment="1">
      <alignment horizontal="center" vertical="center"/>
    </xf>
    <xf numFmtId="170" fontId="47" fillId="4" borderId="9" xfId="8" applyNumberFormat="1" applyFont="1" applyFill="1" applyBorder="1" applyAlignment="1">
      <alignment horizontal="center" vertical="center"/>
    </xf>
    <xf numFmtId="170" fontId="47" fillId="4" borderId="7" xfId="8" applyNumberFormat="1" applyFont="1" applyFill="1" applyBorder="1" applyAlignment="1">
      <alignment horizontal="center" vertical="center"/>
    </xf>
    <xf numFmtId="170" fontId="47" fillId="4" borderId="10" xfId="8" applyNumberFormat="1" applyFont="1" applyFill="1" applyBorder="1" applyAlignment="1">
      <alignment horizontal="center" vertical="center"/>
    </xf>
    <xf numFmtId="170" fontId="47" fillId="4" borderId="11" xfId="8" applyNumberFormat="1" applyFont="1" applyFill="1" applyBorder="1" applyAlignment="1">
      <alignment horizontal="center" vertical="center"/>
    </xf>
    <xf numFmtId="0" fontId="47" fillId="4" borderId="17" xfId="11" applyFont="1" applyFill="1" applyBorder="1" applyAlignment="1">
      <alignment horizontal="left" vertical="center" indent="1"/>
    </xf>
    <xf numFmtId="0" fontId="47" fillId="4" borderId="6" xfId="11" applyFont="1" applyFill="1" applyBorder="1" applyAlignment="1">
      <alignment horizontal="left" vertical="center" indent="1"/>
    </xf>
    <xf numFmtId="0" fontId="47" fillId="4" borderId="2" xfId="11" applyFont="1" applyFill="1" applyBorder="1" applyAlignment="1">
      <alignment horizontal="left" vertical="center" indent="1"/>
    </xf>
    <xf numFmtId="0" fontId="55" fillId="9" borderId="37" xfId="0" applyFont="1" applyFill="1" applyBorder="1" applyAlignment="1">
      <alignment horizontal="center" vertical="center" wrapText="1"/>
    </xf>
    <xf numFmtId="0" fontId="55" fillId="9" borderId="49" xfId="0" applyFont="1" applyFill="1" applyBorder="1" applyAlignment="1">
      <alignment horizontal="center" vertical="center" wrapText="1"/>
    </xf>
    <xf numFmtId="0" fontId="19" fillId="0" borderId="105" xfId="0" applyFont="1" applyBorder="1" applyAlignment="1">
      <alignment horizontal="left" vertical="center" indent="1"/>
    </xf>
    <xf numFmtId="0" fontId="19" fillId="0" borderId="15" xfId="0" applyFont="1" applyBorder="1" applyAlignment="1">
      <alignment horizontal="left" vertical="center" indent="1"/>
    </xf>
    <xf numFmtId="0" fontId="19" fillId="0" borderId="15" xfId="0" applyFont="1" applyBorder="1" applyAlignment="1">
      <alignment horizontal="left" vertical="center" wrapText="1" indent="1"/>
    </xf>
    <xf numFmtId="0" fontId="19" fillId="4" borderId="15" xfId="0" applyFont="1" applyFill="1" applyBorder="1" applyAlignment="1">
      <alignment horizontal="left" vertical="center" wrapText="1" indent="1"/>
    </xf>
    <xf numFmtId="49" fontId="19" fillId="0" borderId="15" xfId="0" applyNumberFormat="1" applyFont="1" applyBorder="1" applyAlignment="1">
      <alignment horizontal="center" vertical="center"/>
    </xf>
    <xf numFmtId="170" fontId="47" fillId="4" borderId="0" xfId="0" applyNumberFormat="1" applyFont="1" applyFill="1" applyBorder="1" applyAlignment="1">
      <alignment horizontal="right" vertical="center" indent="1"/>
    </xf>
    <xf numFmtId="0" fontId="62" fillId="4" borderId="6" xfId="0" applyFont="1" applyFill="1" applyBorder="1" applyAlignment="1">
      <alignment horizontal="left" vertical="center" indent="1"/>
    </xf>
    <xf numFmtId="170" fontId="47" fillId="4" borderId="24" xfId="0" applyNumberFormat="1" applyFont="1" applyFill="1" applyBorder="1" applyAlignment="1">
      <alignment horizontal="center" vertical="center"/>
    </xf>
    <xf numFmtId="0" fontId="62" fillId="4" borderId="22" xfId="0" applyFont="1" applyFill="1" applyBorder="1" applyAlignment="1">
      <alignment horizontal="left" vertical="center" indent="1"/>
    </xf>
    <xf numFmtId="0" fontId="52" fillId="9" borderId="0" xfId="0" applyFont="1" applyFill="1" applyBorder="1" applyAlignment="1">
      <alignment horizontal="center" vertical="center"/>
    </xf>
    <xf numFmtId="0" fontId="19" fillId="0" borderId="10" xfId="0" applyFont="1" applyBorder="1" applyAlignment="1">
      <alignment horizontal="left" vertical="center" indent="1"/>
    </xf>
    <xf numFmtId="0" fontId="19" fillId="0" borderId="105" xfId="0" applyFont="1" applyBorder="1" applyAlignment="1">
      <alignment horizontal="left" vertical="center" wrapText="1" indent="1"/>
    </xf>
    <xf numFmtId="0" fontId="34" fillId="4" borderId="2" xfId="0" applyFont="1" applyFill="1" applyBorder="1" applyAlignment="1">
      <alignment horizontal="left" vertical="center" wrapText="1" indent="1"/>
    </xf>
    <xf numFmtId="0" fontId="34" fillId="4" borderId="29" xfId="0" applyFont="1" applyFill="1" applyBorder="1" applyAlignment="1">
      <alignment horizontal="left" vertical="center" wrapText="1" indent="1"/>
    </xf>
    <xf numFmtId="0" fontId="73" fillId="0" borderId="0" xfId="0" applyFont="1" applyAlignment="1">
      <alignment horizontal="left" vertical="center"/>
    </xf>
    <xf numFmtId="3" fontId="34" fillId="4" borderId="12" xfId="0" applyNumberFormat="1" applyFont="1" applyFill="1" applyBorder="1" applyAlignment="1">
      <alignment horizontal="right" vertical="center" wrapText="1" indent="1"/>
    </xf>
    <xf numFmtId="0" fontId="19" fillId="4" borderId="6" xfId="0" applyFont="1" applyFill="1" applyBorder="1" applyAlignment="1">
      <alignment horizontal="left" vertical="center" indent="1"/>
    </xf>
    <xf numFmtId="0" fontId="19" fillId="4" borderId="17" xfId="0" applyFont="1" applyFill="1" applyBorder="1" applyAlignment="1">
      <alignment horizontal="left" vertical="center" indent="1"/>
    </xf>
    <xf numFmtId="0" fontId="45" fillId="9" borderId="0" xfId="0" applyFont="1" applyFill="1" applyBorder="1" applyAlignment="1">
      <alignment horizontal="center" vertical="center" wrapText="1"/>
    </xf>
    <xf numFmtId="0" fontId="34" fillId="16" borderId="1" xfId="0" applyFont="1" applyFill="1" applyBorder="1" applyAlignment="1">
      <alignment horizontal="center" vertical="center" textRotation="90"/>
    </xf>
    <xf numFmtId="170" fontId="19" fillId="4" borderId="6" xfId="0" applyNumberFormat="1" applyFont="1" applyFill="1" applyBorder="1" applyAlignment="1">
      <alignment horizontal="center" vertical="center"/>
    </xf>
    <xf numFmtId="170" fontId="19" fillId="4" borderId="22" xfId="0" applyNumberFormat="1" applyFont="1" applyFill="1" applyBorder="1" applyAlignment="1">
      <alignment horizontal="center" vertical="center"/>
    </xf>
    <xf numFmtId="0" fontId="45" fillId="9" borderId="71" xfId="0" applyFont="1" applyFill="1" applyBorder="1" applyAlignment="1">
      <alignment horizontal="center" vertical="center"/>
    </xf>
    <xf numFmtId="0" fontId="7" fillId="4" borderId="0" xfId="0" applyFont="1" applyFill="1" applyBorder="1" applyAlignment="1">
      <alignment horizontal="center" vertical="center"/>
    </xf>
    <xf numFmtId="0" fontId="19" fillId="4" borderId="11" xfId="0" applyFont="1" applyFill="1" applyBorder="1" applyAlignment="1">
      <alignment horizontal="center" vertical="center"/>
    </xf>
    <xf numFmtId="0" fontId="45" fillId="9" borderId="0" xfId="0" applyFont="1" applyFill="1" applyBorder="1" applyAlignment="1">
      <alignment horizontal="left" vertical="center" indent="1"/>
    </xf>
    <xf numFmtId="0" fontId="45" fillId="9" borderId="43" xfId="0" applyFont="1" applyFill="1" applyBorder="1" applyAlignment="1">
      <alignment horizontal="center" vertical="center"/>
    </xf>
    <xf numFmtId="0" fontId="34" fillId="4" borderId="0" xfId="0" applyFont="1" applyFill="1" applyAlignment="1"/>
    <xf numFmtId="0" fontId="45" fillId="9" borderId="36" xfId="0" applyFont="1" applyFill="1" applyBorder="1" applyAlignment="1">
      <alignment horizontal="center" vertical="center" wrapText="1"/>
    </xf>
    <xf numFmtId="0" fontId="45" fillId="9" borderId="43" xfId="0" applyFont="1" applyFill="1" applyBorder="1" applyAlignment="1">
      <alignment horizontal="center" vertical="center" wrapText="1"/>
    </xf>
    <xf numFmtId="170" fontId="19" fillId="4" borderId="11" xfId="0" applyNumberFormat="1" applyFont="1" applyFill="1" applyBorder="1" applyAlignment="1">
      <alignment horizontal="center" vertical="center"/>
    </xf>
    <xf numFmtId="6" fontId="19" fillId="4" borderId="22" xfId="0" applyNumberFormat="1" applyFont="1" applyFill="1" applyBorder="1" applyAlignment="1">
      <alignment horizontal="center" vertical="center"/>
    </xf>
    <xf numFmtId="6" fontId="19" fillId="4" borderId="6" xfId="0" applyNumberFormat="1" applyFont="1" applyFill="1" applyBorder="1" applyAlignment="1">
      <alignment horizontal="center" vertical="center"/>
    </xf>
    <xf numFmtId="0" fontId="45" fillId="9" borderId="71" xfId="0" applyFont="1" applyFill="1" applyBorder="1" applyAlignment="1">
      <alignment horizontal="center" vertical="center"/>
    </xf>
    <xf numFmtId="6" fontId="45" fillId="9" borderId="36" xfId="0" applyNumberFormat="1" applyFont="1" applyFill="1" applyBorder="1" applyAlignment="1">
      <alignment horizontal="center" vertical="center"/>
    </xf>
    <xf numFmtId="6" fontId="19" fillId="4" borderId="17" xfId="0" applyNumberFormat="1" applyFont="1" applyFill="1" applyBorder="1" applyAlignment="1">
      <alignment horizontal="center" vertical="center"/>
    </xf>
    <xf numFmtId="0" fontId="34" fillId="4" borderId="0" xfId="0" applyFont="1" applyFill="1" applyAlignment="1"/>
    <xf numFmtId="0" fontId="45" fillId="9" borderId="0" xfId="0" applyFont="1" applyFill="1" applyBorder="1" applyAlignment="1">
      <alignment horizontal="center" vertical="center" wrapText="1" readingOrder="1"/>
    </xf>
    <xf numFmtId="0" fontId="45" fillId="9" borderId="36" xfId="0" applyFont="1" applyFill="1" applyBorder="1" applyAlignment="1">
      <alignment horizontal="center" vertical="center" wrapText="1" readingOrder="1"/>
    </xf>
    <xf numFmtId="172" fontId="80" fillId="4" borderId="98" xfId="0" applyNumberFormat="1" applyFont="1" applyFill="1" applyBorder="1" applyAlignment="1">
      <alignment horizontal="center" vertical="center"/>
    </xf>
    <xf numFmtId="172" fontId="80" fillId="4" borderId="101" xfId="0" applyNumberFormat="1" applyFont="1" applyFill="1" applyBorder="1" applyAlignment="1">
      <alignment horizontal="center" vertical="center"/>
    </xf>
    <xf numFmtId="172" fontId="80" fillId="4" borderId="61" xfId="0" applyNumberFormat="1" applyFont="1" applyFill="1" applyBorder="1" applyAlignment="1">
      <alignment horizontal="center" vertical="center"/>
    </xf>
    <xf numFmtId="172" fontId="80" fillId="4" borderId="99" xfId="0" applyNumberFormat="1" applyFont="1" applyFill="1" applyBorder="1" applyAlignment="1">
      <alignment horizontal="center" vertical="center"/>
    </xf>
    <xf numFmtId="172" fontId="80" fillId="4" borderId="102" xfId="0" applyNumberFormat="1" applyFont="1" applyFill="1" applyBorder="1" applyAlignment="1">
      <alignment horizontal="center" vertical="center"/>
    </xf>
    <xf numFmtId="172" fontId="80" fillId="4" borderId="23" xfId="0" applyNumberFormat="1" applyFont="1" applyFill="1" applyBorder="1" applyAlignment="1">
      <alignment horizontal="center" vertical="center"/>
    </xf>
    <xf numFmtId="170" fontId="81" fillId="4" borderId="3" xfId="0" applyNumberFormat="1" applyFont="1" applyFill="1" applyBorder="1" applyAlignment="1">
      <alignment horizontal="center" vertical="center"/>
    </xf>
    <xf numFmtId="170" fontId="81" fillId="4" borderId="18" xfId="0" applyNumberFormat="1" applyFont="1" applyFill="1" applyBorder="1" applyAlignment="1">
      <alignment horizontal="center" vertical="center"/>
    </xf>
    <xf numFmtId="170" fontId="80" fillId="4" borderId="29" xfId="0" applyNumberFormat="1" applyFont="1" applyFill="1" applyBorder="1" applyAlignment="1">
      <alignment horizontal="center" vertical="center"/>
    </xf>
    <xf numFmtId="170" fontId="80" fillId="4" borderId="12" xfId="0" applyNumberFormat="1" applyFont="1" applyFill="1" applyBorder="1" applyAlignment="1">
      <alignment horizontal="center" vertical="center"/>
    </xf>
    <xf numFmtId="170" fontId="80" fillId="4" borderId="21" xfId="0" applyNumberFormat="1" applyFont="1" applyFill="1" applyBorder="1" applyAlignment="1">
      <alignment horizontal="center" vertical="center"/>
    </xf>
    <xf numFmtId="170" fontId="80" fillId="4" borderId="7" xfId="0" applyNumberFormat="1" applyFont="1" applyFill="1" applyBorder="1" applyAlignment="1">
      <alignment horizontal="center" vertical="center"/>
    </xf>
    <xf numFmtId="170" fontId="80" fillId="4" borderId="31" xfId="0" applyNumberFormat="1" applyFont="1" applyFill="1" applyBorder="1" applyAlignment="1">
      <alignment horizontal="center" vertical="center"/>
    </xf>
    <xf numFmtId="170" fontId="80" fillId="4" borderId="13" xfId="0" applyNumberFormat="1" applyFont="1" applyFill="1" applyBorder="1" applyAlignment="1">
      <alignment horizontal="center" vertical="center"/>
    </xf>
    <xf numFmtId="170" fontId="80" fillId="4" borderId="17" xfId="0" applyNumberFormat="1" applyFont="1" applyFill="1" applyBorder="1" applyAlignment="1">
      <alignment horizontal="center" vertical="center"/>
    </xf>
    <xf numFmtId="170" fontId="80" fillId="4" borderId="6" xfId="0" applyNumberFormat="1" applyFont="1" applyFill="1" applyBorder="1" applyAlignment="1">
      <alignment horizontal="center" vertical="center"/>
    </xf>
    <xf numFmtId="170" fontId="80" fillId="4" borderId="22" xfId="0" applyNumberFormat="1" applyFont="1" applyFill="1" applyBorder="1" applyAlignment="1">
      <alignment horizontal="center" vertical="center"/>
    </xf>
    <xf numFmtId="170" fontId="80" fillId="4" borderId="11" xfId="0" applyNumberFormat="1" applyFont="1" applyFill="1" applyBorder="1" applyAlignment="1">
      <alignment horizontal="center" vertical="center"/>
    </xf>
    <xf numFmtId="170" fontId="80" fillId="4" borderId="91" xfId="0" applyNumberFormat="1" applyFont="1" applyFill="1" applyBorder="1" applyAlignment="1">
      <alignment horizontal="center" vertical="center"/>
    </xf>
    <xf numFmtId="170" fontId="19" fillId="0" borderId="102" xfId="31" applyNumberFormat="1" applyFont="1" applyFill="1" applyBorder="1" applyAlignment="1">
      <alignment horizontal="center" vertical="center"/>
    </xf>
    <xf numFmtId="0" fontId="45" fillId="9" borderId="0" xfId="0" applyFont="1" applyFill="1" applyBorder="1" applyAlignment="1">
      <alignment horizontal="center" vertical="center" wrapText="1" readingOrder="1"/>
    </xf>
    <xf numFmtId="170" fontId="47" fillId="4" borderId="24" xfId="0" applyNumberFormat="1" applyFont="1" applyFill="1" applyBorder="1" applyAlignment="1">
      <alignment horizontal="center" vertical="center"/>
    </xf>
    <xf numFmtId="170" fontId="47" fillId="4" borderId="8" xfId="0" applyNumberFormat="1" applyFont="1" applyFill="1" applyBorder="1" applyAlignment="1">
      <alignment horizontal="center" vertical="center"/>
    </xf>
    <xf numFmtId="170" fontId="47" fillId="4" borderId="0" xfId="0" applyNumberFormat="1" applyFont="1" applyFill="1" applyBorder="1" applyAlignment="1">
      <alignment horizontal="right" vertical="center" indent="1"/>
    </xf>
    <xf numFmtId="0" fontId="34" fillId="4" borderId="16" xfId="0" applyFont="1" applyFill="1" applyBorder="1" applyAlignment="1">
      <alignment horizontal="left" vertical="center" wrapText="1" indent="1"/>
    </xf>
    <xf numFmtId="0" fontId="34" fillId="4" borderId="10" xfId="0" applyFont="1" applyFill="1" applyBorder="1" applyAlignment="1">
      <alignment horizontal="center" vertical="center"/>
    </xf>
    <xf numFmtId="0" fontId="34" fillId="4" borderId="34" xfId="0" applyFont="1" applyFill="1" applyBorder="1" applyAlignment="1">
      <alignment horizontal="center" vertical="center" wrapText="1"/>
    </xf>
    <xf numFmtId="0" fontId="34" fillId="4" borderId="30" xfId="0" applyFont="1" applyFill="1" applyBorder="1" applyAlignment="1">
      <alignment horizontal="center" vertical="center" wrapText="1"/>
    </xf>
    <xf numFmtId="0" fontId="34" fillId="4" borderId="27" xfId="0" applyFont="1" applyFill="1" applyBorder="1" applyAlignment="1">
      <alignment horizontal="left" vertical="center" wrapText="1" indent="1"/>
    </xf>
    <xf numFmtId="0" fontId="34" fillId="4" borderId="4" xfId="0" applyFont="1" applyFill="1" applyBorder="1" applyAlignment="1">
      <alignment horizontal="left" vertical="center" wrapText="1" indent="1"/>
    </xf>
    <xf numFmtId="0" fontId="45" fillId="9" borderId="125" xfId="0" applyFont="1" applyFill="1" applyBorder="1" applyAlignment="1">
      <alignment horizontal="center" vertical="center"/>
    </xf>
    <xf numFmtId="170" fontId="34" fillId="4" borderId="17" xfId="0" applyNumberFormat="1" applyFont="1" applyFill="1" applyBorder="1" applyAlignment="1">
      <alignment horizontal="center" vertical="center"/>
    </xf>
    <xf numFmtId="170" fontId="34" fillId="4" borderId="22" xfId="0" applyNumberFormat="1" applyFont="1" applyFill="1" applyBorder="1" applyAlignment="1">
      <alignment horizontal="center" vertical="center"/>
    </xf>
    <xf numFmtId="170" fontId="34" fillId="4" borderId="13" xfId="0" applyNumberFormat="1" applyFont="1" applyFill="1" applyBorder="1" applyAlignment="1">
      <alignment horizontal="center" vertical="center"/>
    </xf>
    <xf numFmtId="0" fontId="34" fillId="4" borderId="16" xfId="0" applyFont="1" applyFill="1" applyBorder="1" applyAlignment="1">
      <alignment horizontal="left" vertical="center" wrapText="1" indent="1"/>
    </xf>
    <xf numFmtId="0" fontId="34" fillId="4" borderId="3" xfId="0" applyFont="1" applyFill="1" applyBorder="1" applyAlignment="1">
      <alignment horizontal="center" vertical="center" wrapText="1"/>
    </xf>
    <xf numFmtId="170" fontId="34" fillId="0" borderId="12" xfId="0" applyNumberFormat="1" applyFont="1" applyFill="1" applyBorder="1" applyAlignment="1">
      <alignment horizontal="center" vertical="center"/>
    </xf>
    <xf numFmtId="170" fontId="80" fillId="4" borderId="101" xfId="0" applyNumberFormat="1" applyFont="1" applyFill="1" applyBorder="1" applyAlignment="1">
      <alignment horizontal="center" vertical="center"/>
    </xf>
    <xf numFmtId="170" fontId="80" fillId="4" borderId="61" xfId="0" applyNumberFormat="1" applyFont="1" applyFill="1" applyBorder="1" applyAlignment="1">
      <alignment horizontal="center" vertical="center"/>
    </xf>
    <xf numFmtId="170" fontId="80" fillId="4" borderId="98" xfId="0" applyNumberFormat="1" applyFont="1" applyFill="1" applyBorder="1" applyAlignment="1">
      <alignment horizontal="center" vertical="center"/>
    </xf>
    <xf numFmtId="170" fontId="19" fillId="25" borderId="61" xfId="31" applyNumberFormat="1" applyFont="1" applyFill="1" applyBorder="1" applyAlignment="1">
      <alignment horizontal="center" vertical="center"/>
    </xf>
    <xf numFmtId="170" fontId="19" fillId="25" borderId="23" xfId="31" applyNumberFormat="1" applyFont="1" applyFill="1" applyBorder="1" applyAlignment="1">
      <alignment horizontal="center" vertical="center"/>
    </xf>
    <xf numFmtId="170" fontId="19" fillId="26" borderId="98" xfId="31" applyNumberFormat="1" applyFont="1" applyFill="1" applyBorder="1" applyAlignment="1">
      <alignment horizontal="center" vertical="center"/>
    </xf>
    <xf numFmtId="170" fontId="19" fillId="26" borderId="101" xfId="31" applyNumberFormat="1" applyFont="1" applyFill="1" applyBorder="1" applyAlignment="1">
      <alignment horizontal="center" vertical="center"/>
    </xf>
    <xf numFmtId="170" fontId="19" fillId="26" borderId="23" xfId="31" applyNumberFormat="1" applyFont="1" applyFill="1" applyBorder="1" applyAlignment="1">
      <alignment horizontal="center" vertical="center"/>
    </xf>
    <xf numFmtId="170" fontId="19" fillId="26" borderId="11" xfId="31" applyNumberFormat="1" applyFont="1" applyFill="1" applyBorder="1" applyAlignment="1">
      <alignment horizontal="center" vertical="center"/>
    </xf>
    <xf numFmtId="170" fontId="19" fillId="26" borderId="119" xfId="31" applyNumberFormat="1" applyFont="1" applyFill="1" applyBorder="1" applyAlignment="1">
      <alignment horizontal="center" vertical="center"/>
    </xf>
    <xf numFmtId="170" fontId="19" fillId="26" borderId="99" xfId="31" applyNumberFormat="1" applyFont="1" applyFill="1" applyBorder="1" applyAlignment="1">
      <alignment horizontal="center" vertical="center"/>
    </xf>
    <xf numFmtId="0" fontId="34" fillId="4" borderId="17" xfId="0" applyFont="1" applyFill="1" applyBorder="1" applyAlignment="1">
      <alignment horizontal="left" vertical="center" indent="1"/>
    </xf>
    <xf numFmtId="170" fontId="34" fillId="4" borderId="6" xfId="0" applyNumberFormat="1" applyFont="1" applyFill="1" applyBorder="1" applyAlignment="1">
      <alignment horizontal="center" vertical="center"/>
    </xf>
    <xf numFmtId="0" fontId="34" fillId="4" borderId="29" xfId="0" applyFont="1" applyFill="1" applyBorder="1" applyAlignment="1">
      <alignment horizontal="center" vertical="center"/>
    </xf>
    <xf numFmtId="0" fontId="30" fillId="4" borderId="3" xfId="0" applyFont="1" applyFill="1" applyBorder="1"/>
    <xf numFmtId="0" fontId="62" fillId="4" borderId="30" xfId="0" applyFont="1" applyFill="1" applyBorder="1" applyAlignment="1">
      <alignment vertical="center"/>
    </xf>
    <xf numFmtId="0" fontId="62" fillId="4" borderId="23" xfId="0" applyFont="1" applyFill="1" applyBorder="1" applyAlignment="1">
      <alignment vertical="center"/>
    </xf>
    <xf numFmtId="49" fontId="19" fillId="4" borderId="15" xfId="0" applyNumberFormat="1" applyFont="1" applyFill="1" applyBorder="1" applyAlignment="1">
      <alignment horizontal="center" vertical="center"/>
    </xf>
    <xf numFmtId="0" fontId="30" fillId="4" borderId="23" xfId="0" applyFont="1" applyFill="1" applyBorder="1"/>
    <xf numFmtId="170" fontId="34" fillId="13" borderId="24" xfId="0" applyNumberFormat="1" applyFont="1" applyFill="1" applyBorder="1" applyAlignment="1">
      <alignment horizontal="center" vertical="center" wrapText="1"/>
    </xf>
    <xf numFmtId="170" fontId="70" fillId="13" borderId="25" xfId="0" applyNumberFormat="1" applyFont="1" applyFill="1" applyBorder="1" applyAlignment="1">
      <alignment horizontal="center" vertical="center" wrapText="1"/>
    </xf>
    <xf numFmtId="170" fontId="34" fillId="13" borderId="18" xfId="0" applyNumberFormat="1" applyFont="1" applyFill="1" applyBorder="1" applyAlignment="1">
      <alignment horizontal="center" vertical="center" wrapText="1"/>
    </xf>
    <xf numFmtId="170" fontId="70" fillId="13" borderId="11" xfId="0" applyNumberFormat="1" applyFont="1" applyFill="1" applyBorder="1" applyAlignment="1">
      <alignment horizontal="center" vertical="center" wrapText="1"/>
    </xf>
    <xf numFmtId="170" fontId="34" fillId="13" borderId="12" xfId="0" applyNumberFormat="1" applyFont="1" applyFill="1" applyBorder="1" applyAlignment="1">
      <alignment horizontal="center" vertical="center" wrapText="1"/>
    </xf>
    <xf numFmtId="6" fontId="30" fillId="4" borderId="0" xfId="0" applyNumberFormat="1" applyFont="1" applyFill="1" applyBorder="1" applyAlignment="1">
      <alignment horizontal="center" vertical="center"/>
    </xf>
    <xf numFmtId="0" fontId="34" fillId="23" borderId="69" xfId="0" applyFont="1" applyFill="1" applyBorder="1" applyAlignment="1">
      <alignment horizontal="center" vertical="center" textRotation="90"/>
    </xf>
    <xf numFmtId="0" fontId="34" fillId="4" borderId="16" xfId="0" applyFont="1" applyFill="1" applyBorder="1" applyAlignment="1">
      <alignment horizontal="left" vertical="center" wrapText="1" indent="1"/>
    </xf>
    <xf numFmtId="0" fontId="34" fillId="4" borderId="2" xfId="0" applyFont="1" applyFill="1" applyBorder="1" applyAlignment="1">
      <alignment horizontal="left" vertical="center" wrapText="1" indent="1"/>
    </xf>
    <xf numFmtId="0" fontId="34" fillId="4" borderId="27" xfId="0" applyFont="1" applyFill="1" applyBorder="1" applyAlignment="1">
      <alignment horizontal="left" vertical="center" wrapText="1" indent="1"/>
    </xf>
    <xf numFmtId="0" fontId="34" fillId="4" borderId="0" xfId="0" applyFont="1" applyFill="1" applyBorder="1" applyAlignment="1">
      <alignment horizontal="center" vertical="center" textRotation="90"/>
    </xf>
    <xf numFmtId="0" fontId="17" fillId="4" borderId="0" xfId="0" applyFont="1" applyFill="1"/>
    <xf numFmtId="0" fontId="34" fillId="4" borderId="38" xfId="0" applyFont="1" applyFill="1" applyBorder="1"/>
    <xf numFmtId="3" fontId="34" fillId="4" borderId="23" xfId="0" applyNumberFormat="1" applyFont="1" applyFill="1" applyBorder="1" applyAlignment="1">
      <alignment horizontal="right" vertical="center" wrapText="1" indent="1"/>
    </xf>
    <xf numFmtId="0" fontId="34" fillId="16" borderId="130" xfId="0" applyFont="1" applyFill="1" applyBorder="1" applyAlignment="1">
      <alignment horizontal="center" vertical="center" textRotation="90"/>
    </xf>
    <xf numFmtId="0" fontId="34" fillId="16" borderId="129" xfId="0" applyFont="1" applyFill="1" applyBorder="1" applyAlignment="1">
      <alignment horizontal="center" vertical="center" textRotation="90"/>
    </xf>
    <xf numFmtId="0" fontId="45" fillId="9" borderId="125" xfId="0" applyFont="1" applyFill="1" applyBorder="1" applyAlignment="1">
      <alignment horizontal="center" vertical="center" wrapText="1"/>
    </xf>
    <xf numFmtId="0" fontId="45" fillId="9" borderId="107" xfId="0" applyFont="1" applyFill="1" applyBorder="1" applyAlignment="1">
      <alignment horizontal="center" vertical="center" wrapText="1"/>
    </xf>
    <xf numFmtId="3" fontId="34" fillId="4" borderId="131" xfId="0" applyNumberFormat="1" applyFont="1" applyFill="1" applyBorder="1" applyAlignment="1">
      <alignment horizontal="right" vertical="center" wrapText="1" indent="1"/>
    </xf>
    <xf numFmtId="0" fontId="45" fillId="9" borderId="109" xfId="0" applyFont="1" applyFill="1" applyBorder="1" applyAlignment="1">
      <alignment horizontal="center" vertical="center" wrapText="1"/>
    </xf>
    <xf numFmtId="49" fontId="34" fillId="13" borderId="0" xfId="0" applyNumberFormat="1" applyFont="1" applyFill="1" applyBorder="1"/>
    <xf numFmtId="0" fontId="47" fillId="13" borderId="0" xfId="0" applyFont="1" applyFill="1" applyBorder="1" applyAlignment="1">
      <alignment horizontal="left" vertical="center" indent="1"/>
    </xf>
    <xf numFmtId="0" fontId="47" fillId="13" borderId="0" xfId="0" applyFont="1" applyFill="1" applyBorder="1" applyAlignment="1">
      <alignment horizontal="center" vertical="center"/>
    </xf>
    <xf numFmtId="170" fontId="47" fillId="13" borderId="0" xfId="0" applyNumberFormat="1" applyFont="1" applyFill="1" applyBorder="1" applyAlignment="1">
      <alignment horizontal="center" vertical="center"/>
    </xf>
    <xf numFmtId="170" fontId="34" fillId="4" borderId="30" xfId="0" applyNumberFormat="1" applyFont="1" applyFill="1" applyBorder="1" applyAlignment="1">
      <alignment horizontal="center" vertical="center"/>
    </xf>
    <xf numFmtId="170" fontId="34" fillId="4" borderId="23" xfId="0" applyNumberFormat="1" applyFont="1" applyFill="1" applyBorder="1" applyAlignment="1">
      <alignment horizontal="center" vertical="center"/>
    </xf>
    <xf numFmtId="0" fontId="45" fillId="9" borderId="0" xfId="0" applyFont="1" applyFill="1" applyBorder="1" applyAlignment="1">
      <alignment horizontal="center" vertical="center" wrapText="1"/>
    </xf>
    <xf numFmtId="0" fontId="57" fillId="9" borderId="36" xfId="0" applyFont="1" applyFill="1" applyBorder="1" applyAlignment="1">
      <alignment horizontal="center" vertical="center" wrapText="1"/>
    </xf>
    <xf numFmtId="0" fontId="34" fillId="4" borderId="16" xfId="0" applyFont="1" applyFill="1" applyBorder="1" applyAlignment="1">
      <alignment horizontal="left" vertical="center" wrapText="1" indent="1"/>
    </xf>
    <xf numFmtId="0" fontId="10" fillId="9" borderId="0" xfId="0" applyFont="1" applyFill="1" applyBorder="1" applyAlignment="1">
      <alignment vertical="center"/>
    </xf>
    <xf numFmtId="0" fontId="30" fillId="9" borderId="36" xfId="0" applyFont="1" applyFill="1" applyBorder="1"/>
    <xf numFmtId="170" fontId="71" fillId="4" borderId="11" xfId="0" applyNumberFormat="1" applyFont="1" applyFill="1" applyBorder="1" applyAlignment="1">
      <alignment horizontal="center" vertical="center"/>
    </xf>
    <xf numFmtId="170" fontId="56" fillId="4" borderId="18" xfId="0" applyNumberFormat="1" applyFont="1" applyFill="1" applyBorder="1" applyAlignment="1">
      <alignment horizontal="center" vertical="center"/>
    </xf>
    <xf numFmtId="170" fontId="56" fillId="4" borderId="11" xfId="0" applyNumberFormat="1" applyFont="1" applyFill="1" applyBorder="1" applyAlignment="1">
      <alignment horizontal="center" vertical="center"/>
    </xf>
    <xf numFmtId="170" fontId="34" fillId="4" borderId="18" xfId="0" applyNumberFormat="1" applyFont="1" applyFill="1" applyBorder="1" applyAlignment="1">
      <alignment horizontal="center" vertical="center"/>
    </xf>
    <xf numFmtId="170" fontId="47" fillId="4" borderId="18" xfId="0" applyNumberFormat="1" applyFont="1" applyFill="1" applyBorder="1" applyAlignment="1">
      <alignment horizontal="center" vertical="center" wrapText="1"/>
    </xf>
    <xf numFmtId="170" fontId="71" fillId="4" borderId="11" xfId="0" applyNumberFormat="1" applyFont="1" applyFill="1" applyBorder="1" applyAlignment="1">
      <alignment horizontal="center" vertical="center" wrapText="1"/>
    </xf>
    <xf numFmtId="0" fontId="34" fillId="13" borderId="31" xfId="0" applyFont="1" applyFill="1" applyBorder="1" applyAlignment="1">
      <alignment horizontal="left" vertical="center" wrapText="1" indent="1"/>
    </xf>
    <xf numFmtId="0" fontId="34" fillId="13" borderId="13" xfId="0" applyFont="1" applyFill="1" applyBorder="1" applyAlignment="1">
      <alignment horizontal="left" vertical="center" wrapText="1" indent="1"/>
    </xf>
    <xf numFmtId="170" fontId="34" fillId="13" borderId="25" xfId="0" applyNumberFormat="1" applyFont="1" applyFill="1" applyBorder="1" applyAlignment="1">
      <alignment horizontal="center" vertical="center"/>
    </xf>
    <xf numFmtId="170" fontId="34" fillId="4" borderId="24" xfId="0" applyNumberFormat="1" applyFont="1" applyFill="1" applyBorder="1" applyAlignment="1">
      <alignment horizontal="center" vertical="center"/>
    </xf>
    <xf numFmtId="0" fontId="4" fillId="4" borderId="0" xfId="0" applyFont="1" applyFill="1" applyAlignment="1">
      <alignment horizontal="right" vertical="center" wrapText="1"/>
    </xf>
    <xf numFmtId="0" fontId="11" fillId="4" borderId="0" xfId="17" applyNumberFormat="1" applyFont="1" applyFill="1" applyBorder="1" applyAlignment="1">
      <alignment horizontal="center" vertical="center" wrapText="1"/>
    </xf>
    <xf numFmtId="1" fontId="12" fillId="4" borderId="0" xfId="17" applyNumberFormat="1" applyFont="1" applyFill="1" applyBorder="1" applyAlignment="1">
      <alignment vertical="top"/>
    </xf>
    <xf numFmtId="0" fontId="33" fillId="4" borderId="0" xfId="0" applyFont="1" applyFill="1" applyBorder="1" applyAlignment="1">
      <alignment horizontal="center" vertical="center"/>
    </xf>
    <xf numFmtId="0" fontId="30" fillId="4" borderId="0" xfId="0" applyFont="1" applyFill="1" applyBorder="1" applyAlignment="1">
      <alignment horizontal="center" vertical="center"/>
    </xf>
    <xf numFmtId="6" fontId="2" fillId="4" borderId="0" xfId="0" applyNumberFormat="1" applyFont="1" applyFill="1" applyBorder="1" applyAlignment="1">
      <alignment horizontal="center" vertical="center" wrapText="1"/>
    </xf>
    <xf numFmtId="0" fontId="33" fillId="4" borderId="0" xfId="0" applyFont="1" applyFill="1" applyBorder="1" applyAlignment="1">
      <alignment horizontal="center" vertical="center" wrapText="1"/>
    </xf>
    <xf numFmtId="6" fontId="30" fillId="4" borderId="0" xfId="0" applyNumberFormat="1" applyFont="1" applyFill="1" applyBorder="1" applyAlignment="1">
      <alignment horizontal="center" vertical="center"/>
    </xf>
    <xf numFmtId="0" fontId="6" fillId="4" borderId="0" xfId="0" applyFont="1" applyFill="1" applyBorder="1" applyAlignment="1">
      <alignment horizontal="left" vertical="center" indent="1"/>
    </xf>
    <xf numFmtId="6" fontId="42" fillId="4" borderId="0" xfId="0" applyNumberFormat="1" applyFont="1" applyFill="1" applyBorder="1" applyAlignment="1">
      <alignment horizontal="left" vertical="center" wrapText="1"/>
    </xf>
    <xf numFmtId="0" fontId="42" fillId="4" borderId="0" xfId="0" applyFont="1" applyFill="1" applyBorder="1" applyAlignment="1">
      <alignment horizontal="left" vertical="center" wrapText="1"/>
    </xf>
    <xf numFmtId="0" fontId="6" fillId="4" borderId="0" xfId="0" applyFont="1" applyFill="1" applyBorder="1" applyAlignment="1">
      <alignment horizontal="left" vertical="center" wrapText="1" indent="1"/>
    </xf>
    <xf numFmtId="0" fontId="43" fillId="7" borderId="0" xfId="0" applyNumberFormat="1" applyFont="1" applyFill="1" applyBorder="1" applyAlignment="1">
      <alignment horizontal="center" vertical="center" wrapText="1"/>
    </xf>
    <xf numFmtId="49" fontId="30" fillId="4" borderId="0" xfId="0" applyNumberFormat="1" applyFont="1" applyFill="1" applyBorder="1" applyAlignment="1">
      <alignment horizontal="center" vertical="center"/>
    </xf>
    <xf numFmtId="6" fontId="32" fillId="4" borderId="0" xfId="0" applyNumberFormat="1" applyFont="1" applyFill="1" applyBorder="1" applyAlignment="1">
      <alignment horizontal="center" vertical="center" wrapText="1"/>
    </xf>
    <xf numFmtId="49" fontId="2" fillId="4" borderId="0"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0" fontId="34" fillId="4" borderId="6" xfId="0" applyFont="1" applyFill="1" applyBorder="1" applyAlignment="1">
      <alignment horizontal="left" vertical="center" wrapText="1" indent="1"/>
    </xf>
    <xf numFmtId="0" fontId="34" fillId="4" borderId="7" xfId="0" applyFont="1" applyFill="1" applyBorder="1" applyAlignment="1">
      <alignment horizontal="left" vertical="center" wrapText="1" indent="1"/>
    </xf>
    <xf numFmtId="0" fontId="34" fillId="4" borderId="22" xfId="0" applyFont="1" applyFill="1" applyBorder="1" applyAlignment="1">
      <alignment horizontal="left" vertical="center" wrapText="1" indent="1"/>
    </xf>
    <xf numFmtId="0" fontId="34" fillId="4" borderId="31" xfId="0" applyFont="1" applyFill="1" applyBorder="1" applyAlignment="1">
      <alignment horizontal="left" vertical="center" wrapText="1" indent="1"/>
    </xf>
    <xf numFmtId="171" fontId="19" fillId="4" borderId="6" xfId="0" applyNumberFormat="1" applyFont="1" applyFill="1" applyBorder="1" applyAlignment="1">
      <alignment horizontal="center" vertical="center" wrapText="1"/>
    </xf>
    <xf numFmtId="171" fontId="19" fillId="4" borderId="7" xfId="0" applyNumberFormat="1" applyFont="1" applyFill="1" applyBorder="1" applyAlignment="1">
      <alignment horizontal="center" vertical="center" wrapText="1"/>
    </xf>
    <xf numFmtId="0" fontId="34" fillId="4" borderId="13" xfId="0" applyFont="1" applyFill="1" applyBorder="1" applyAlignment="1">
      <alignment horizontal="left" vertical="center" wrapText="1" indent="1"/>
    </xf>
    <xf numFmtId="0" fontId="34" fillId="4" borderId="21" xfId="0" applyFont="1" applyFill="1" applyBorder="1" applyAlignment="1">
      <alignment horizontal="left" vertical="center" wrapText="1" indent="1"/>
    </xf>
    <xf numFmtId="171" fontId="19" fillId="4" borderId="18" xfId="0" applyNumberFormat="1" applyFont="1" applyFill="1" applyBorder="1" applyAlignment="1">
      <alignment horizontal="center" vertical="center" wrapText="1"/>
    </xf>
    <xf numFmtId="171" fontId="19" fillId="4" borderId="11" xfId="0" applyNumberFormat="1" applyFont="1" applyFill="1" applyBorder="1" applyAlignment="1">
      <alignment horizontal="center" vertical="center" wrapText="1"/>
    </xf>
    <xf numFmtId="166" fontId="34" fillId="4" borderId="20" xfId="0" applyNumberFormat="1" applyFont="1" applyFill="1" applyBorder="1" applyAlignment="1">
      <alignment horizontal="center" vertical="center"/>
    </xf>
    <xf numFmtId="166" fontId="34" fillId="4" borderId="16" xfId="0" applyNumberFormat="1" applyFont="1" applyFill="1" applyBorder="1" applyAlignment="1">
      <alignment horizontal="center" vertical="center"/>
    </xf>
    <xf numFmtId="166" fontId="34" fillId="4" borderId="10" xfId="0" applyNumberFormat="1" applyFont="1" applyFill="1" applyBorder="1" applyAlignment="1">
      <alignment horizontal="center" vertical="center"/>
    </xf>
    <xf numFmtId="0" fontId="45" fillId="9" borderId="0" xfId="0" applyFont="1" applyFill="1" applyBorder="1" applyAlignment="1">
      <alignment horizontal="center" vertical="center" wrapText="1" readingOrder="1"/>
    </xf>
    <xf numFmtId="0" fontId="45" fillId="9" borderId="37" xfId="0" applyFont="1" applyFill="1" applyBorder="1" applyAlignment="1">
      <alignment horizontal="center" vertical="center" wrapText="1" readingOrder="1"/>
    </xf>
    <xf numFmtId="0" fontId="52" fillId="14" borderId="0" xfId="0" applyFont="1" applyFill="1" applyAlignment="1">
      <alignment horizontal="center" vertical="center"/>
    </xf>
    <xf numFmtId="0" fontId="34" fillId="4" borderId="18" xfId="0" applyFont="1" applyFill="1" applyBorder="1" applyAlignment="1">
      <alignment horizontal="left" vertical="center" wrapText="1" indent="1"/>
    </xf>
    <xf numFmtId="0" fontId="34" fillId="4" borderId="2" xfId="0" applyFont="1" applyFill="1" applyBorder="1" applyAlignment="1">
      <alignment horizontal="left" vertical="center" wrapText="1" indent="1"/>
    </xf>
    <xf numFmtId="0" fontId="34" fillId="4" borderId="11" xfId="0" applyFont="1" applyFill="1" applyBorder="1" applyAlignment="1">
      <alignment horizontal="left" vertical="center" wrapText="1" indent="1"/>
    </xf>
    <xf numFmtId="0" fontId="45" fillId="9" borderId="36" xfId="0" applyFont="1" applyFill="1" applyBorder="1" applyAlignment="1">
      <alignment horizontal="center" vertical="center" wrapText="1" readingOrder="1"/>
    </xf>
    <xf numFmtId="0" fontId="34" fillId="4" borderId="41" xfId="0" applyFont="1" applyFill="1" applyBorder="1" applyAlignment="1">
      <alignment horizontal="left" vertical="center" wrapText="1" indent="1"/>
    </xf>
    <xf numFmtId="0" fontId="34" fillId="4" borderId="42" xfId="0" applyFont="1" applyFill="1" applyBorder="1" applyAlignment="1">
      <alignment horizontal="left" vertical="center" wrapText="1" indent="1"/>
    </xf>
    <xf numFmtId="0" fontId="54" fillId="9" borderId="0" xfId="0" applyFont="1" applyFill="1" applyBorder="1" applyAlignment="1">
      <alignment horizontal="center" vertical="center" wrapText="1" readingOrder="1"/>
    </xf>
    <xf numFmtId="0" fontId="54" fillId="9" borderId="36" xfId="0" applyFont="1" applyFill="1" applyBorder="1" applyAlignment="1">
      <alignment horizontal="center" vertical="center" wrapText="1" readingOrder="1"/>
    </xf>
    <xf numFmtId="6" fontId="19" fillId="0" borderId="17" xfId="0" applyNumberFormat="1" applyFont="1" applyFill="1" applyBorder="1" applyAlignment="1">
      <alignment horizontal="center" vertical="center" wrapText="1"/>
    </xf>
    <xf numFmtId="6" fontId="19" fillId="0" borderId="12" xfId="0" applyNumberFormat="1" applyFont="1" applyFill="1" applyBorder="1" applyAlignment="1">
      <alignment horizontal="center" vertical="center" wrapText="1"/>
    </xf>
    <xf numFmtId="0" fontId="47" fillId="4" borderId="17" xfId="0" applyFont="1" applyFill="1" applyBorder="1" applyAlignment="1">
      <alignment horizontal="left" vertical="center" indent="1"/>
    </xf>
    <xf numFmtId="0" fontId="47" fillId="4" borderId="29" xfId="0" applyFont="1" applyFill="1" applyBorder="1" applyAlignment="1">
      <alignment horizontal="left" vertical="center" indent="1"/>
    </xf>
    <xf numFmtId="0" fontId="47" fillId="4" borderId="12" xfId="0" applyFont="1" applyFill="1" applyBorder="1" applyAlignment="1">
      <alignment horizontal="left" vertical="center" indent="1"/>
    </xf>
    <xf numFmtId="0" fontId="34" fillId="4" borderId="19" xfId="0" applyFont="1" applyFill="1" applyBorder="1" applyAlignment="1">
      <alignment horizontal="left" vertical="center" wrapText="1" indent="1"/>
    </xf>
    <xf numFmtId="0" fontId="34" fillId="4" borderId="33" xfId="0" applyFont="1" applyFill="1" applyBorder="1" applyAlignment="1">
      <alignment horizontal="left" vertical="center" wrapText="1" indent="1"/>
    </xf>
    <xf numFmtId="0" fontId="34" fillId="4" borderId="28" xfId="0" applyFont="1" applyFill="1" applyBorder="1" applyAlignment="1">
      <alignment horizontal="left" vertical="center" wrapText="1" indent="1"/>
    </xf>
    <xf numFmtId="0" fontId="47" fillId="4" borderId="18" xfId="0" applyFont="1" applyFill="1" applyBorder="1" applyAlignment="1">
      <alignment horizontal="left" vertical="center" indent="1"/>
    </xf>
    <xf numFmtId="0" fontId="47" fillId="4" borderId="2" xfId="0" applyFont="1" applyFill="1" applyBorder="1" applyAlignment="1">
      <alignment horizontal="left" vertical="center" indent="1"/>
    </xf>
    <xf numFmtId="0" fontId="47" fillId="4" borderId="11" xfId="0" applyFont="1" applyFill="1" applyBorder="1" applyAlignment="1">
      <alignment horizontal="left" vertical="center" indent="1"/>
    </xf>
    <xf numFmtId="0" fontId="47" fillId="4" borderId="6" xfId="0" applyFont="1" applyFill="1" applyBorder="1" applyAlignment="1">
      <alignment horizontal="left" vertical="center" indent="1"/>
    </xf>
    <xf numFmtId="0" fontId="47" fillId="4" borderId="21" xfId="0" applyFont="1" applyFill="1" applyBorder="1" applyAlignment="1">
      <alignment horizontal="left" vertical="center" indent="1"/>
    </xf>
    <xf numFmtId="0" fontId="47" fillId="4" borderId="7" xfId="0" applyFont="1" applyFill="1" applyBorder="1" applyAlignment="1">
      <alignment horizontal="left" vertical="center" indent="1"/>
    </xf>
    <xf numFmtId="0" fontId="47" fillId="4" borderId="22" xfId="0" applyFont="1" applyFill="1" applyBorder="1" applyAlignment="1">
      <alignment horizontal="left" vertical="center" indent="1"/>
    </xf>
    <xf numFmtId="0" fontId="47" fillId="4" borderId="31" xfId="0" applyFont="1" applyFill="1" applyBorder="1" applyAlignment="1">
      <alignment horizontal="left" vertical="center" indent="1"/>
    </xf>
    <xf numFmtId="0" fontId="47" fillId="4" borderId="13" xfId="0" applyFont="1" applyFill="1" applyBorder="1" applyAlignment="1">
      <alignment horizontal="left" vertical="center" indent="1"/>
    </xf>
    <xf numFmtId="0" fontId="52" fillId="17" borderId="26" xfId="0" applyFont="1" applyFill="1" applyBorder="1" applyAlignment="1">
      <alignment horizontal="center" vertical="center"/>
    </xf>
    <xf numFmtId="0" fontId="19" fillId="4" borderId="18" xfId="0" applyFont="1" applyFill="1" applyBorder="1" applyAlignment="1">
      <alignment horizontal="left" vertical="center" wrapText="1" indent="1"/>
    </xf>
    <xf numFmtId="0" fontId="19" fillId="4" borderId="2" xfId="0" applyFont="1" applyFill="1" applyBorder="1" applyAlignment="1">
      <alignment horizontal="left" vertical="center" wrapText="1" indent="1"/>
    </xf>
    <xf numFmtId="0" fontId="19" fillId="4" borderId="11" xfId="0" applyFont="1" applyFill="1" applyBorder="1" applyAlignment="1">
      <alignment horizontal="left" vertical="center" wrapText="1" indent="1"/>
    </xf>
    <xf numFmtId="0" fontId="19" fillId="4" borderId="18" xfId="0" applyFont="1" applyFill="1" applyBorder="1" applyAlignment="1">
      <alignment horizontal="left" vertical="center" indent="1"/>
    </xf>
    <xf numFmtId="0" fontId="19" fillId="4" borderId="2" xfId="0" applyFont="1" applyFill="1" applyBorder="1" applyAlignment="1">
      <alignment horizontal="left" vertical="center" indent="1"/>
    </xf>
    <xf numFmtId="0" fontId="19" fillId="4" borderId="11" xfId="0" applyFont="1" applyFill="1" applyBorder="1" applyAlignment="1">
      <alignment horizontal="left" vertical="center" indent="1"/>
    </xf>
    <xf numFmtId="0" fontId="34" fillId="20" borderId="1" xfId="0" applyFont="1" applyFill="1" applyBorder="1" applyAlignment="1">
      <alignment horizontal="center" vertical="center" textRotation="90"/>
    </xf>
    <xf numFmtId="0" fontId="19" fillId="4" borderId="6" xfId="0" applyFont="1" applyFill="1" applyBorder="1" applyAlignment="1">
      <alignment horizontal="left" vertical="center" wrapText="1" indent="1"/>
    </xf>
    <xf numFmtId="0" fontId="19" fillId="4" borderId="21" xfId="0" applyFont="1" applyFill="1" applyBorder="1" applyAlignment="1">
      <alignment horizontal="left" vertical="center" wrapText="1" indent="1"/>
    </xf>
    <xf numFmtId="0" fontId="19" fillId="4" borderId="7" xfId="0" applyFont="1" applyFill="1" applyBorder="1" applyAlignment="1">
      <alignment horizontal="left" vertical="center" wrapText="1" indent="1"/>
    </xf>
    <xf numFmtId="0" fontId="19" fillId="4" borderId="6" xfId="0" applyFont="1" applyFill="1" applyBorder="1" applyAlignment="1">
      <alignment horizontal="left" vertical="center" indent="1"/>
    </xf>
    <xf numFmtId="0" fontId="19" fillId="4" borderId="21" xfId="0" applyFont="1" applyFill="1" applyBorder="1" applyAlignment="1">
      <alignment horizontal="left" vertical="center" indent="1"/>
    </xf>
    <xf numFmtId="0" fontId="19" fillId="4" borderId="7" xfId="0" applyFont="1" applyFill="1" applyBorder="1" applyAlignment="1">
      <alignment horizontal="left" vertical="center" indent="1"/>
    </xf>
    <xf numFmtId="0" fontId="34" fillId="0" borderId="6" xfId="0" applyFont="1" applyFill="1" applyBorder="1" applyAlignment="1">
      <alignment horizontal="left" vertical="center" indent="1"/>
    </xf>
    <xf numFmtId="0" fontId="34" fillId="0" borderId="21" xfId="0" applyFont="1" applyFill="1" applyBorder="1" applyAlignment="1">
      <alignment horizontal="left" vertical="center" indent="1"/>
    </xf>
    <xf numFmtId="0" fontId="34" fillId="0" borderId="7" xfId="0" applyFont="1" applyFill="1" applyBorder="1" applyAlignment="1">
      <alignment horizontal="left" vertical="center" indent="1"/>
    </xf>
    <xf numFmtId="0" fontId="45" fillId="21" borderId="0" xfId="0" applyFont="1" applyFill="1" applyBorder="1" applyAlignment="1">
      <alignment horizontal="center" vertical="center"/>
    </xf>
    <xf numFmtId="0" fontId="19" fillId="4" borderId="17" xfId="0" applyFont="1" applyFill="1" applyBorder="1" applyAlignment="1">
      <alignment horizontal="left" vertical="center" wrapText="1" indent="1"/>
    </xf>
    <xf numFmtId="0" fontId="19" fillId="4" borderId="29" xfId="0" applyFont="1" applyFill="1" applyBorder="1" applyAlignment="1">
      <alignment horizontal="left" vertical="center" wrapText="1" indent="1"/>
    </xf>
    <xf numFmtId="0" fontId="19" fillId="4" borderId="12" xfId="0" applyFont="1" applyFill="1" applyBorder="1" applyAlignment="1">
      <alignment horizontal="left" vertical="center" wrapText="1" indent="1"/>
    </xf>
    <xf numFmtId="0" fontId="52" fillId="24" borderId="0" xfId="0" applyFont="1" applyFill="1" applyBorder="1" applyAlignment="1">
      <alignment horizontal="center" vertical="center"/>
    </xf>
    <xf numFmtId="0" fontId="45" fillId="22" borderId="0" xfId="0" applyFont="1" applyFill="1" applyBorder="1" applyAlignment="1">
      <alignment horizontal="center" vertical="center"/>
    </xf>
    <xf numFmtId="0" fontId="45" fillId="22" borderId="68" xfId="0" applyFont="1" applyFill="1" applyBorder="1" applyAlignment="1">
      <alignment horizontal="center" vertical="center"/>
    </xf>
    <xf numFmtId="0" fontId="48" fillId="7" borderId="30" xfId="0" applyNumberFormat="1" applyFont="1" applyFill="1" applyBorder="1" applyAlignment="1">
      <alignment horizontal="center" vertical="center" wrapText="1"/>
    </xf>
    <xf numFmtId="0" fontId="48" fillId="7" borderId="27" xfId="0" applyNumberFormat="1" applyFont="1" applyFill="1" applyBorder="1" applyAlignment="1">
      <alignment horizontal="center" vertical="center" wrapText="1"/>
    </xf>
    <xf numFmtId="0" fontId="48" fillId="7" borderId="23" xfId="0" applyNumberFormat="1" applyFont="1" applyFill="1" applyBorder="1" applyAlignment="1">
      <alignment horizontal="center" vertical="center" wrapText="1"/>
    </xf>
    <xf numFmtId="0" fontId="34" fillId="4" borderId="63" xfId="0" applyFont="1" applyFill="1" applyBorder="1" applyAlignment="1">
      <alignment horizontal="left" vertical="center" wrapText="1" indent="1"/>
    </xf>
    <xf numFmtId="0" fontId="60" fillId="0" borderId="6"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47" fillId="4" borderId="3" xfId="0" applyFont="1" applyFill="1" applyBorder="1" applyAlignment="1">
      <alignment horizontal="left" vertical="center" indent="1"/>
    </xf>
    <xf numFmtId="0" fontId="47" fillId="4" borderId="0" xfId="0" applyFont="1" applyFill="1" applyBorder="1" applyAlignment="1">
      <alignment horizontal="left" vertical="center" indent="1"/>
    </xf>
    <xf numFmtId="0" fontId="47" fillId="4" borderId="1" xfId="0" applyFont="1" applyFill="1" applyBorder="1" applyAlignment="1">
      <alignment horizontal="left" vertical="center" indent="1"/>
    </xf>
    <xf numFmtId="0" fontId="47" fillId="4" borderId="24" xfId="0" applyFont="1" applyFill="1" applyBorder="1" applyAlignment="1">
      <alignment horizontal="left" vertical="center" indent="1"/>
    </xf>
    <xf numFmtId="0" fontId="47" fillId="4" borderId="32" xfId="0" applyFont="1" applyFill="1" applyBorder="1" applyAlignment="1">
      <alignment horizontal="left" vertical="center" indent="1"/>
    </xf>
    <xf numFmtId="0" fontId="47" fillId="4" borderId="25" xfId="0" applyFont="1" applyFill="1" applyBorder="1" applyAlignment="1">
      <alignment horizontal="left" vertical="center" indent="1"/>
    </xf>
    <xf numFmtId="0" fontId="19" fillId="4" borderId="24" xfId="0" applyFont="1" applyFill="1" applyBorder="1" applyAlignment="1">
      <alignment horizontal="left" vertical="center" wrapText="1" indent="1"/>
    </xf>
    <xf numFmtId="0" fontId="19" fillId="4" borderId="32" xfId="0" applyFont="1" applyFill="1" applyBorder="1" applyAlignment="1">
      <alignment horizontal="left" vertical="center" wrapText="1" indent="1"/>
    </xf>
    <xf numFmtId="0" fontId="19" fillId="4" borderId="25" xfId="0" applyFont="1" applyFill="1" applyBorder="1" applyAlignment="1">
      <alignment horizontal="left" vertical="center" wrapText="1" indent="1"/>
    </xf>
    <xf numFmtId="0" fontId="34" fillId="0" borderId="6" xfId="0" applyFont="1" applyFill="1" applyBorder="1" applyAlignment="1">
      <alignment horizontal="left" vertical="center" wrapText="1" indent="1"/>
    </xf>
    <xf numFmtId="0" fontId="34" fillId="0" borderId="21" xfId="0" applyFont="1" applyFill="1" applyBorder="1" applyAlignment="1">
      <alignment horizontal="left" vertical="center" wrapText="1" indent="1"/>
    </xf>
    <xf numFmtId="0" fontId="34" fillId="0" borderId="7" xfId="0" applyFont="1" applyFill="1" applyBorder="1" applyAlignment="1">
      <alignment horizontal="left" vertical="center" wrapText="1" indent="1"/>
    </xf>
    <xf numFmtId="0" fontId="45" fillId="21" borderId="65" xfId="0" applyFont="1" applyFill="1" applyBorder="1" applyAlignment="1">
      <alignment horizontal="center" vertical="center"/>
    </xf>
    <xf numFmtId="0" fontId="45" fillId="22" borderId="66" xfId="0" applyFont="1" applyFill="1" applyBorder="1" applyAlignment="1">
      <alignment horizontal="center" vertical="center"/>
    </xf>
    <xf numFmtId="0" fontId="45" fillId="22" borderId="67" xfId="0" applyFont="1" applyFill="1" applyBorder="1" applyAlignment="1">
      <alignment horizontal="center" vertical="center"/>
    </xf>
    <xf numFmtId="0" fontId="19" fillId="4" borderId="17" xfId="0" applyFont="1" applyFill="1" applyBorder="1" applyAlignment="1">
      <alignment horizontal="left" vertical="center" indent="1"/>
    </xf>
    <xf numFmtId="0" fontId="19" fillId="4" borderId="29" xfId="0" applyFont="1" applyFill="1" applyBorder="1" applyAlignment="1">
      <alignment horizontal="left" vertical="center" indent="1"/>
    </xf>
    <xf numFmtId="0" fontId="19" fillId="4" borderId="12" xfId="0" applyFont="1" applyFill="1" applyBorder="1" applyAlignment="1">
      <alignment horizontal="left" vertical="center" indent="1"/>
    </xf>
    <xf numFmtId="0" fontId="19" fillId="4" borderId="24" xfId="0" applyFont="1" applyFill="1" applyBorder="1" applyAlignment="1">
      <alignment horizontal="left" vertical="center" indent="1"/>
    </xf>
    <xf numFmtId="0" fontId="19" fillId="4" borderId="32" xfId="0" applyFont="1" applyFill="1" applyBorder="1" applyAlignment="1">
      <alignment horizontal="left" vertical="center" indent="1"/>
    </xf>
    <xf numFmtId="0" fontId="19" fillId="4" borderId="25" xfId="0" applyFont="1" applyFill="1" applyBorder="1" applyAlignment="1">
      <alignment horizontal="left" vertical="center" indent="1"/>
    </xf>
    <xf numFmtId="6" fontId="19" fillId="4" borderId="16" xfId="1" applyNumberFormat="1" applyFont="1" applyFill="1" applyBorder="1" applyAlignment="1">
      <alignment horizontal="center" vertical="center"/>
    </xf>
    <xf numFmtId="6" fontId="19" fillId="4" borderId="10" xfId="1" applyNumberFormat="1" applyFont="1" applyFill="1" applyBorder="1" applyAlignment="1">
      <alignment horizontal="center" vertical="center"/>
    </xf>
    <xf numFmtId="0" fontId="45" fillId="9" borderId="0" xfId="0" applyFont="1" applyFill="1" applyBorder="1" applyAlignment="1">
      <alignment horizontal="center" vertical="center"/>
    </xf>
    <xf numFmtId="0" fontId="45" fillId="9" borderId="37" xfId="0" applyFont="1" applyFill="1" applyBorder="1" applyAlignment="1">
      <alignment horizontal="center" vertical="center"/>
    </xf>
    <xf numFmtId="0" fontId="34" fillId="0" borderId="22" xfId="0" applyFont="1" applyFill="1" applyBorder="1" applyAlignment="1">
      <alignment horizontal="left" vertical="center" indent="1"/>
    </xf>
    <xf numFmtId="0" fontId="34" fillId="0" borderId="31" xfId="0" applyFont="1" applyFill="1" applyBorder="1" applyAlignment="1">
      <alignment horizontal="left" vertical="center" indent="1"/>
    </xf>
    <xf numFmtId="0" fontId="34" fillId="0" borderId="13" xfId="0" applyFont="1" applyFill="1" applyBorder="1" applyAlignment="1">
      <alignment horizontal="left" vertical="center" indent="1"/>
    </xf>
    <xf numFmtId="0" fontId="45" fillId="9" borderId="36" xfId="0" applyFont="1" applyFill="1" applyBorder="1" applyAlignment="1">
      <alignment horizontal="center" vertical="center"/>
    </xf>
    <xf numFmtId="0" fontId="34" fillId="4" borderId="6" xfId="0" applyFont="1" applyFill="1" applyBorder="1" applyAlignment="1">
      <alignment horizontal="left" vertical="center" indent="1"/>
    </xf>
    <xf numFmtId="0" fontId="34" fillId="4" borderId="21" xfId="0" applyFont="1" applyFill="1" applyBorder="1" applyAlignment="1">
      <alignment horizontal="left" vertical="center" indent="1"/>
    </xf>
    <xf numFmtId="0" fontId="34" fillId="4" borderId="7" xfId="0" applyFont="1" applyFill="1" applyBorder="1" applyAlignment="1">
      <alignment horizontal="left" vertical="center" indent="1"/>
    </xf>
    <xf numFmtId="0" fontId="34" fillId="4" borderId="24" xfId="0" applyFont="1" applyFill="1" applyBorder="1" applyAlignment="1">
      <alignment horizontal="left" vertical="center" wrapText="1" indent="1"/>
    </xf>
    <xf numFmtId="0" fontId="34" fillId="4" borderId="32" xfId="0" applyFont="1" applyFill="1" applyBorder="1" applyAlignment="1">
      <alignment horizontal="left" vertical="center" wrapText="1" indent="1"/>
    </xf>
    <xf numFmtId="0" fontId="34" fillId="4" borderId="25" xfId="0" applyFont="1" applyFill="1" applyBorder="1" applyAlignment="1">
      <alignment horizontal="left" vertical="center" wrapText="1" indent="1"/>
    </xf>
    <xf numFmtId="0" fontId="34" fillId="18" borderId="1" xfId="0" applyFont="1" applyFill="1" applyBorder="1" applyAlignment="1">
      <alignment horizontal="center" vertical="center" textRotation="90"/>
    </xf>
    <xf numFmtId="0" fontId="34" fillId="18" borderId="62" xfId="0" applyFont="1" applyFill="1" applyBorder="1" applyAlignment="1">
      <alignment horizontal="center" vertical="center" textRotation="90"/>
    </xf>
    <xf numFmtId="0" fontId="34" fillId="4" borderId="17" xfId="0" applyFont="1" applyFill="1" applyBorder="1" applyAlignment="1">
      <alignment horizontal="left" vertical="center" wrapText="1" indent="1"/>
    </xf>
    <xf numFmtId="0" fontId="34" fillId="4" borderId="29" xfId="0" applyFont="1" applyFill="1" applyBorder="1" applyAlignment="1">
      <alignment horizontal="left" vertical="center" wrapText="1" indent="1"/>
    </xf>
    <xf numFmtId="0" fontId="34" fillId="4" borderId="12" xfId="0" applyFont="1" applyFill="1" applyBorder="1" applyAlignment="1">
      <alignment horizontal="left" vertical="center" wrapText="1" indent="1"/>
    </xf>
    <xf numFmtId="0" fontId="34" fillId="19" borderId="64" xfId="0" applyFont="1" applyFill="1" applyBorder="1" applyAlignment="1">
      <alignment horizontal="center" vertical="center" textRotation="90" wrapText="1"/>
    </xf>
    <xf numFmtId="0" fontId="34" fillId="19" borderId="1" xfId="0" applyFont="1" applyFill="1" applyBorder="1" applyAlignment="1">
      <alignment horizontal="center" vertical="center" textRotation="90" wrapText="1"/>
    </xf>
    <xf numFmtId="0" fontId="34" fillId="19" borderId="62" xfId="0" applyFont="1" applyFill="1" applyBorder="1" applyAlignment="1">
      <alignment horizontal="center" vertical="center" textRotation="90" wrapText="1"/>
    </xf>
    <xf numFmtId="0" fontId="34" fillId="4" borderId="24" xfId="0" applyFont="1" applyFill="1" applyBorder="1" applyAlignment="1">
      <alignment horizontal="left" vertical="center" indent="1"/>
    </xf>
    <xf numFmtId="0" fontId="34" fillId="4" borderId="32" xfId="0" applyFont="1" applyFill="1" applyBorder="1" applyAlignment="1">
      <alignment horizontal="left" vertical="center" indent="1"/>
    </xf>
    <xf numFmtId="0" fontId="34" fillId="4" borderId="25" xfId="0" applyFont="1" applyFill="1" applyBorder="1" applyAlignment="1">
      <alignment horizontal="left" vertical="center" indent="1"/>
    </xf>
    <xf numFmtId="170" fontId="47" fillId="4" borderId="16" xfId="0" applyNumberFormat="1" applyFont="1" applyFill="1" applyBorder="1" applyAlignment="1">
      <alignment horizontal="center" vertical="center"/>
    </xf>
    <xf numFmtId="170" fontId="47" fillId="4" borderId="10" xfId="0" applyNumberFormat="1" applyFont="1" applyFill="1" applyBorder="1" applyAlignment="1">
      <alignment horizontal="center" vertical="center"/>
    </xf>
    <xf numFmtId="0" fontId="52" fillId="9" borderId="0" xfId="0" applyFont="1" applyFill="1" applyBorder="1" applyAlignment="1">
      <alignment horizontal="left" vertical="center" wrapText="1" indent="1"/>
    </xf>
    <xf numFmtId="170" fontId="47" fillId="4" borderId="17" xfId="0" applyNumberFormat="1" applyFont="1" applyFill="1" applyBorder="1" applyAlignment="1">
      <alignment horizontal="center" vertical="center"/>
    </xf>
    <xf numFmtId="170" fontId="47" fillId="4" borderId="12" xfId="0" applyNumberFormat="1" applyFont="1" applyFill="1" applyBorder="1" applyAlignment="1">
      <alignment horizontal="center" vertical="center"/>
    </xf>
    <xf numFmtId="170" fontId="47" fillId="4" borderId="22" xfId="0" applyNumberFormat="1" applyFont="1" applyFill="1" applyBorder="1" applyAlignment="1">
      <alignment horizontal="center" vertical="center"/>
    </xf>
    <xf numFmtId="170" fontId="47" fillId="4" borderId="13" xfId="0" applyNumberFormat="1" applyFont="1" applyFill="1" applyBorder="1" applyAlignment="1">
      <alignment horizontal="center" vertical="center"/>
    </xf>
    <xf numFmtId="170" fontId="52" fillId="9" borderId="73" xfId="0" applyNumberFormat="1" applyFont="1" applyFill="1" applyBorder="1" applyAlignment="1">
      <alignment horizontal="center" vertical="center" wrapText="1"/>
    </xf>
    <xf numFmtId="170" fontId="52" fillId="9" borderId="36" xfId="0" applyNumberFormat="1" applyFont="1" applyFill="1" applyBorder="1" applyAlignment="1">
      <alignment horizontal="center" vertical="center" wrapText="1"/>
    </xf>
    <xf numFmtId="172" fontId="81" fillId="4" borderId="22" xfId="0" applyNumberFormat="1" applyFont="1" applyFill="1" applyBorder="1" applyAlignment="1">
      <alignment horizontal="center" vertical="center"/>
    </xf>
    <xf numFmtId="172" fontId="81" fillId="4" borderId="13" xfId="0" applyNumberFormat="1" applyFont="1" applyFill="1" applyBorder="1" applyAlignment="1">
      <alignment horizontal="center" vertical="center"/>
    </xf>
    <xf numFmtId="170" fontId="52" fillId="9" borderId="73" xfId="0" applyNumberFormat="1" applyFont="1" applyFill="1" applyBorder="1" applyAlignment="1">
      <alignment horizontal="center" vertical="center"/>
    </xf>
    <xf numFmtId="170" fontId="52" fillId="9" borderId="36" xfId="0" applyNumberFormat="1" applyFont="1" applyFill="1" applyBorder="1" applyAlignment="1">
      <alignment horizontal="center" vertical="center"/>
    </xf>
    <xf numFmtId="170" fontId="47" fillId="4" borderId="3" xfId="0" applyNumberFormat="1" applyFont="1" applyFill="1" applyBorder="1" applyAlignment="1">
      <alignment horizontal="center" vertical="center"/>
    </xf>
    <xf numFmtId="170" fontId="47" fillId="4" borderId="1" xfId="0" applyNumberFormat="1" applyFont="1" applyFill="1" applyBorder="1" applyAlignment="1">
      <alignment horizontal="center" vertical="center"/>
    </xf>
    <xf numFmtId="170" fontId="47" fillId="4" borderId="8" xfId="0" applyNumberFormat="1" applyFont="1" applyFill="1" applyBorder="1" applyAlignment="1">
      <alignment horizontal="center" vertical="center"/>
    </xf>
    <xf numFmtId="0" fontId="47" fillId="4" borderId="21" xfId="0" applyFont="1" applyFill="1" applyBorder="1" applyAlignment="1">
      <alignment horizontal="center" vertical="center" wrapText="1"/>
    </xf>
    <xf numFmtId="0" fontId="47" fillId="4" borderId="7" xfId="0" applyFont="1" applyFill="1" applyBorder="1" applyAlignment="1">
      <alignment horizontal="center" vertical="center" wrapText="1"/>
    </xf>
    <xf numFmtId="0" fontId="47" fillId="4" borderId="22" xfId="0" applyFont="1" applyFill="1" applyBorder="1" applyAlignment="1">
      <alignment horizontal="center" wrapText="1"/>
    </xf>
    <xf numFmtId="0" fontId="47" fillId="4" borderId="13" xfId="0" applyFont="1" applyFill="1" applyBorder="1" applyAlignment="1">
      <alignment horizontal="center" wrapText="1"/>
    </xf>
    <xf numFmtId="170" fontId="47" fillId="4" borderId="29" xfId="0" applyNumberFormat="1" applyFont="1" applyFill="1" applyBorder="1" applyAlignment="1">
      <alignment horizontal="center" vertical="center"/>
    </xf>
    <xf numFmtId="170" fontId="52" fillId="9" borderId="0" xfId="0" applyNumberFormat="1" applyFont="1" applyFill="1" applyBorder="1" applyAlignment="1">
      <alignment horizontal="center" vertical="center"/>
    </xf>
    <xf numFmtId="170" fontId="47" fillId="4" borderId="6" xfId="0" applyNumberFormat="1" applyFont="1" applyFill="1" applyBorder="1" applyAlignment="1">
      <alignment horizontal="center" vertical="center"/>
    </xf>
    <xf numFmtId="170" fontId="47" fillId="4" borderId="21" xfId="0" applyNumberFormat="1" applyFont="1" applyFill="1" applyBorder="1" applyAlignment="1">
      <alignment horizontal="center" vertical="center"/>
    </xf>
    <xf numFmtId="170" fontId="52" fillId="9" borderId="0" xfId="0" applyNumberFormat="1" applyFont="1" applyFill="1" applyBorder="1" applyAlignment="1">
      <alignment horizontal="center" vertical="center" wrapText="1"/>
    </xf>
    <xf numFmtId="0" fontId="52" fillId="9" borderId="0" xfId="0" applyFont="1" applyFill="1" applyAlignment="1">
      <alignment horizontal="left" vertical="center" indent="1"/>
    </xf>
    <xf numFmtId="0" fontId="62" fillId="4" borderId="3" xfId="0" applyFont="1" applyFill="1" applyBorder="1" applyAlignment="1">
      <alignment horizontal="left" vertical="center" indent="1"/>
    </xf>
    <xf numFmtId="0" fontId="62" fillId="4" borderId="17" xfId="0" applyFont="1" applyFill="1" applyBorder="1" applyAlignment="1">
      <alignment horizontal="left" vertical="center" indent="1"/>
    </xf>
    <xf numFmtId="0" fontId="52" fillId="9" borderId="0" xfId="0" applyFont="1" applyFill="1" applyAlignment="1">
      <alignment horizontal="center" vertical="center"/>
    </xf>
    <xf numFmtId="0" fontId="72" fillId="9" borderId="0" xfId="0" applyFont="1" applyFill="1" applyAlignment="1">
      <alignment horizontal="center" vertical="center"/>
    </xf>
    <xf numFmtId="0" fontId="47" fillId="4" borderId="29" xfId="0" applyFont="1" applyFill="1" applyBorder="1" applyAlignment="1">
      <alignment horizontal="center" vertical="center" wrapText="1"/>
    </xf>
    <xf numFmtId="0" fontId="47" fillId="4" borderId="12" xfId="0" applyFont="1" applyFill="1" applyBorder="1" applyAlignment="1">
      <alignment horizontal="center" vertical="center" wrapText="1"/>
    </xf>
    <xf numFmtId="0" fontId="62" fillId="4" borderId="18" xfId="0" applyFont="1" applyFill="1" applyBorder="1" applyAlignment="1">
      <alignment horizontal="left" vertical="center" indent="1"/>
    </xf>
    <xf numFmtId="0" fontId="52" fillId="9" borderId="0" xfId="0" applyFont="1" applyFill="1" applyBorder="1" applyAlignment="1">
      <alignment horizontal="left" vertical="center" indent="1"/>
    </xf>
    <xf numFmtId="170" fontId="47" fillId="4" borderId="7" xfId="0" applyNumberFormat="1" applyFont="1" applyFill="1" applyBorder="1" applyAlignment="1">
      <alignment horizontal="center" vertical="center"/>
    </xf>
    <xf numFmtId="0" fontId="47" fillId="4" borderId="31" xfId="0" applyFont="1" applyFill="1" applyBorder="1" applyAlignment="1">
      <alignment horizontal="center" vertical="center" wrapText="1"/>
    </xf>
    <xf numFmtId="0" fontId="47" fillId="4" borderId="13" xfId="0" applyFont="1" applyFill="1" applyBorder="1" applyAlignment="1">
      <alignment horizontal="center" vertical="center" wrapText="1"/>
    </xf>
    <xf numFmtId="0" fontId="62" fillId="4" borderId="6" xfId="0" applyFont="1" applyFill="1" applyBorder="1" applyAlignment="1">
      <alignment horizontal="left" vertical="center" indent="1"/>
    </xf>
    <xf numFmtId="0" fontId="62" fillId="4" borderId="7" xfId="0" applyFont="1" applyFill="1" applyBorder="1" applyAlignment="1">
      <alignment horizontal="left" vertical="center" indent="1"/>
    </xf>
    <xf numFmtId="0" fontId="75" fillId="9" borderId="0" xfId="5" applyFont="1" applyFill="1" applyBorder="1" applyAlignment="1">
      <alignment horizontal="center" vertical="center"/>
    </xf>
    <xf numFmtId="0" fontId="26" fillId="9" borderId="0" xfId="5" applyFill="1" applyAlignment="1">
      <alignment horizontal="center" vertical="center"/>
    </xf>
    <xf numFmtId="170" fontId="47" fillId="4" borderId="0" xfId="0" applyNumberFormat="1" applyFont="1" applyFill="1" applyBorder="1" applyAlignment="1">
      <alignment horizontal="right" vertical="center" indent="1"/>
    </xf>
    <xf numFmtId="0" fontId="62" fillId="4" borderId="11" xfId="0" applyFont="1" applyFill="1" applyBorder="1" applyAlignment="1">
      <alignment horizontal="left" vertical="center" indent="1"/>
    </xf>
    <xf numFmtId="170" fontId="47" fillId="4" borderId="4" xfId="0" applyNumberFormat="1" applyFont="1" applyFill="1" applyBorder="1" applyAlignment="1">
      <alignment horizontal="center" vertical="center"/>
    </xf>
    <xf numFmtId="0" fontId="62" fillId="4" borderId="12" xfId="0" applyFont="1" applyFill="1" applyBorder="1" applyAlignment="1">
      <alignment horizontal="left" vertical="center" indent="1"/>
    </xf>
    <xf numFmtId="0" fontId="62" fillId="4" borderId="22" xfId="0" applyFont="1" applyFill="1" applyBorder="1" applyAlignment="1">
      <alignment horizontal="left" vertical="center" indent="1"/>
    </xf>
    <xf numFmtId="0" fontId="62" fillId="4" borderId="13" xfId="0" applyFont="1" applyFill="1" applyBorder="1" applyAlignment="1">
      <alignment horizontal="left" vertical="center" indent="1"/>
    </xf>
    <xf numFmtId="170" fontId="47" fillId="4" borderId="17" xfId="0" applyNumberFormat="1" applyFont="1" applyFill="1" applyBorder="1" applyAlignment="1">
      <alignment horizontal="center" vertical="center" wrapText="1"/>
    </xf>
    <xf numFmtId="170" fontId="47" fillId="4" borderId="29" xfId="0" applyNumberFormat="1" applyFont="1" applyFill="1" applyBorder="1" applyAlignment="1">
      <alignment horizontal="center" vertical="center" wrapText="1"/>
    </xf>
    <xf numFmtId="170" fontId="47" fillId="4" borderId="18" xfId="0" applyNumberFormat="1" applyFont="1" applyFill="1" applyBorder="1" applyAlignment="1">
      <alignment horizontal="center" vertical="center"/>
    </xf>
    <xf numFmtId="170" fontId="47" fillId="4" borderId="11" xfId="0" applyNumberFormat="1" applyFont="1" applyFill="1" applyBorder="1" applyAlignment="1">
      <alignment horizontal="center" vertical="center"/>
    </xf>
    <xf numFmtId="170" fontId="47" fillId="4" borderId="24" xfId="0" applyNumberFormat="1" applyFont="1" applyFill="1" applyBorder="1" applyAlignment="1">
      <alignment horizontal="center" vertical="center"/>
    </xf>
    <xf numFmtId="170" fontId="47" fillId="4" borderId="25" xfId="0" applyNumberFormat="1" applyFont="1" applyFill="1" applyBorder="1" applyAlignment="1">
      <alignment horizontal="center" vertical="center"/>
    </xf>
    <xf numFmtId="170" fontId="47" fillId="4" borderId="6" xfId="0" applyNumberFormat="1" applyFont="1" applyFill="1" applyBorder="1" applyAlignment="1">
      <alignment horizontal="center" vertical="center" wrapText="1"/>
    </xf>
    <xf numFmtId="170" fontId="47" fillId="4" borderId="7" xfId="0" applyNumberFormat="1" applyFont="1" applyFill="1" applyBorder="1" applyAlignment="1">
      <alignment horizontal="center" vertical="center" wrapText="1"/>
    </xf>
    <xf numFmtId="0" fontId="52" fillId="9" borderId="0" xfId="0" applyFont="1" applyFill="1" applyBorder="1" applyAlignment="1">
      <alignment horizontal="center" vertical="center" wrapText="1"/>
    </xf>
    <xf numFmtId="0" fontId="52" fillId="9" borderId="36" xfId="0" applyFont="1" applyFill="1" applyBorder="1" applyAlignment="1">
      <alignment horizontal="center" vertical="center" wrapText="1"/>
    </xf>
    <xf numFmtId="0" fontId="52" fillId="4" borderId="81" xfId="0" applyFont="1" applyFill="1" applyBorder="1" applyAlignment="1">
      <alignment horizontal="center" vertical="center"/>
    </xf>
    <xf numFmtId="170" fontId="81" fillId="4" borderId="0" xfId="0" applyNumberFormat="1" applyFont="1" applyFill="1" applyBorder="1" applyAlignment="1">
      <alignment horizontal="center" vertical="center"/>
    </xf>
    <xf numFmtId="170" fontId="81" fillId="4" borderId="1" xfId="0" applyNumberFormat="1" applyFont="1" applyFill="1" applyBorder="1" applyAlignment="1">
      <alignment horizontal="center" vertical="center"/>
    </xf>
    <xf numFmtId="170" fontId="81" fillId="4" borderId="2" xfId="0" applyNumberFormat="1" applyFont="1" applyFill="1" applyBorder="1" applyAlignment="1">
      <alignment horizontal="center" vertical="center"/>
    </xf>
    <xf numFmtId="170" fontId="81" fillId="4" borderId="11" xfId="0" applyNumberFormat="1" applyFont="1" applyFill="1" applyBorder="1" applyAlignment="1">
      <alignment horizontal="center" vertical="center"/>
    </xf>
    <xf numFmtId="0" fontId="52" fillId="9" borderId="0" xfId="0" applyFont="1" applyFill="1" applyBorder="1" applyAlignment="1">
      <alignment horizontal="center" vertical="center"/>
    </xf>
    <xf numFmtId="0" fontId="52" fillId="9" borderId="36" xfId="0" applyFont="1" applyFill="1" applyBorder="1" applyAlignment="1">
      <alignment horizontal="center" vertical="center"/>
    </xf>
    <xf numFmtId="170" fontId="34" fillId="4" borderId="22" xfId="8" applyNumberFormat="1" applyFont="1" applyFill="1" applyBorder="1" applyAlignment="1">
      <alignment horizontal="center" vertical="center"/>
    </xf>
    <xf numFmtId="170" fontId="34" fillId="4" borderId="13" xfId="8" applyNumberFormat="1" applyFont="1" applyFill="1" applyBorder="1" applyAlignment="1">
      <alignment horizontal="center" vertical="center"/>
    </xf>
    <xf numFmtId="170" fontId="34" fillId="4" borderId="6" xfId="0" applyNumberFormat="1" applyFont="1" applyFill="1" applyBorder="1" applyAlignment="1">
      <alignment horizontal="center" vertical="center"/>
    </xf>
    <xf numFmtId="170" fontId="34" fillId="4" borderId="7" xfId="0" applyNumberFormat="1" applyFont="1" applyFill="1" applyBorder="1" applyAlignment="1">
      <alignment horizontal="center" vertical="center"/>
    </xf>
    <xf numFmtId="170" fontId="34" fillId="4" borderId="6" xfId="8" applyNumberFormat="1" applyFont="1" applyFill="1" applyBorder="1" applyAlignment="1">
      <alignment horizontal="center" vertical="center"/>
    </xf>
    <xf numFmtId="170" fontId="34" fillId="4" borderId="7" xfId="8" applyNumberFormat="1" applyFont="1" applyFill="1" applyBorder="1" applyAlignment="1">
      <alignment horizontal="center" vertical="center"/>
    </xf>
    <xf numFmtId="0" fontId="34" fillId="23" borderId="1" xfId="0" applyFont="1" applyFill="1" applyBorder="1" applyAlignment="1">
      <alignment horizontal="center" vertical="center" textRotation="90"/>
    </xf>
    <xf numFmtId="0" fontId="34" fillId="23" borderId="69" xfId="0" applyFont="1" applyFill="1" applyBorder="1" applyAlignment="1">
      <alignment horizontal="center" vertical="center" textRotation="90"/>
    </xf>
    <xf numFmtId="170" fontId="34" fillId="4" borderId="19" xfId="0" applyNumberFormat="1" applyFont="1" applyFill="1" applyBorder="1" applyAlignment="1">
      <alignment horizontal="center" vertical="center"/>
    </xf>
    <xf numFmtId="170" fontId="34" fillId="4" borderId="28" xfId="0" applyNumberFormat="1" applyFont="1" applyFill="1" applyBorder="1" applyAlignment="1">
      <alignment horizontal="center" vertical="center"/>
    </xf>
    <xf numFmtId="170" fontId="34" fillId="4" borderId="22" xfId="0" applyNumberFormat="1" applyFont="1" applyFill="1" applyBorder="1" applyAlignment="1">
      <alignment horizontal="center" vertical="center"/>
    </xf>
    <xf numFmtId="170" fontId="34" fillId="4" borderId="13" xfId="0" applyNumberFormat="1" applyFont="1" applyFill="1" applyBorder="1" applyAlignment="1">
      <alignment horizontal="center" vertical="center"/>
    </xf>
    <xf numFmtId="0" fontId="34" fillId="4" borderId="20" xfId="0" applyFont="1" applyFill="1" applyBorder="1" applyAlignment="1">
      <alignment horizontal="left" vertical="center" wrapText="1" indent="1"/>
    </xf>
    <xf numFmtId="0" fontId="34" fillId="4" borderId="10" xfId="0" applyFont="1" applyFill="1" applyBorder="1" applyAlignment="1">
      <alignment horizontal="left" vertical="center" wrapText="1" indent="1"/>
    </xf>
    <xf numFmtId="0" fontId="34" fillId="4" borderId="16" xfId="0" applyFont="1" applyFill="1" applyBorder="1" applyAlignment="1">
      <alignment horizontal="center" vertical="center" wrapText="1"/>
    </xf>
    <xf numFmtId="0" fontId="34" fillId="4" borderId="10" xfId="0" applyFont="1" applyFill="1" applyBorder="1" applyAlignment="1">
      <alignment horizontal="center" vertical="center" wrapText="1"/>
    </xf>
    <xf numFmtId="0" fontId="34" fillId="4" borderId="20" xfId="0" applyFont="1" applyFill="1" applyBorder="1" applyAlignment="1">
      <alignment horizontal="center" vertical="center" wrapText="1"/>
    </xf>
    <xf numFmtId="170" fontId="34" fillId="4" borderId="30" xfId="0" applyNumberFormat="1" applyFont="1" applyFill="1" applyBorder="1" applyAlignment="1">
      <alignment horizontal="center" vertical="center"/>
    </xf>
    <xf numFmtId="170" fontId="34" fillId="4" borderId="23" xfId="0" applyNumberFormat="1" applyFont="1" applyFill="1" applyBorder="1" applyAlignment="1">
      <alignment horizontal="center" vertical="center"/>
    </xf>
    <xf numFmtId="170" fontId="34" fillId="4" borderId="17" xfId="0" applyNumberFormat="1" applyFont="1" applyFill="1" applyBorder="1" applyAlignment="1">
      <alignment horizontal="center" vertical="center"/>
    </xf>
    <xf numFmtId="170" fontId="34" fillId="4" borderId="12" xfId="0" applyNumberFormat="1" applyFont="1" applyFill="1" applyBorder="1" applyAlignment="1">
      <alignment horizontal="center" vertical="center"/>
    </xf>
    <xf numFmtId="0" fontId="34" fillId="4" borderId="16" xfId="0" applyFont="1" applyFill="1" applyBorder="1" applyAlignment="1">
      <alignment horizontal="left" vertical="center" wrapText="1" indent="1"/>
    </xf>
    <xf numFmtId="0" fontId="45" fillId="9" borderId="0" xfId="0" applyFont="1" applyFill="1" applyBorder="1" applyAlignment="1">
      <alignment horizontal="left" vertical="center" wrapText="1" indent="1"/>
    </xf>
    <xf numFmtId="0" fontId="34" fillId="4" borderId="17" xfId="11" applyFont="1" applyFill="1" applyBorder="1" applyAlignment="1">
      <alignment horizontal="left" vertical="center" indent="1"/>
    </xf>
    <xf numFmtId="0" fontId="34" fillId="4" borderId="12" xfId="11" applyFont="1" applyFill="1" applyBorder="1" applyAlignment="1">
      <alignment horizontal="left" vertical="center" indent="1"/>
    </xf>
    <xf numFmtId="0" fontId="34" fillId="4" borderId="6" xfId="11" applyFont="1" applyFill="1" applyBorder="1" applyAlignment="1">
      <alignment horizontal="left" vertical="center" indent="1"/>
    </xf>
    <xf numFmtId="0" fontId="34" fillId="4" borderId="7" xfId="11" applyFont="1" applyFill="1" applyBorder="1" applyAlignment="1">
      <alignment horizontal="left" vertical="center" indent="1"/>
    </xf>
    <xf numFmtId="170" fontId="83" fillId="4" borderId="17" xfId="0" applyNumberFormat="1" applyFont="1" applyFill="1" applyBorder="1" applyAlignment="1">
      <alignment horizontal="center" vertical="center" wrapText="1" readingOrder="1"/>
    </xf>
    <xf numFmtId="170" fontId="83" fillId="4" borderId="12" xfId="0" applyNumberFormat="1" applyFont="1" applyFill="1" applyBorder="1" applyAlignment="1">
      <alignment horizontal="center" vertical="center" wrapText="1" readingOrder="1"/>
    </xf>
    <xf numFmtId="170" fontId="83" fillId="4" borderId="6" xfId="0" applyNumberFormat="1" applyFont="1" applyFill="1" applyBorder="1" applyAlignment="1">
      <alignment horizontal="center" vertical="center" wrapText="1" readingOrder="1"/>
    </xf>
    <xf numFmtId="170" fontId="83" fillId="4" borderId="7" xfId="0" applyNumberFormat="1" applyFont="1" applyFill="1" applyBorder="1" applyAlignment="1">
      <alignment horizontal="center" vertical="center" wrapText="1" readingOrder="1"/>
    </xf>
    <xf numFmtId="0" fontId="41" fillId="4" borderId="0" xfId="0" applyFont="1" applyFill="1" applyBorder="1" applyAlignment="1">
      <alignment horizontal="center" vertical="center" wrapText="1"/>
    </xf>
    <xf numFmtId="166" fontId="41" fillId="4" borderId="0" xfId="0" applyNumberFormat="1" applyFont="1" applyFill="1" applyBorder="1" applyAlignment="1">
      <alignment horizontal="center" vertical="center"/>
    </xf>
    <xf numFmtId="0" fontId="47" fillId="4" borderId="0" xfId="8" applyNumberFormat="1" applyFont="1" applyFill="1" applyBorder="1" applyAlignment="1">
      <alignment horizontal="center" vertical="center"/>
    </xf>
    <xf numFmtId="0" fontId="47" fillId="4" borderId="2" xfId="8" applyNumberFormat="1" applyFont="1" applyFill="1" applyBorder="1" applyAlignment="1">
      <alignment horizontal="center" vertical="center"/>
    </xf>
    <xf numFmtId="0" fontId="45" fillId="9" borderId="0" xfId="0" applyFont="1" applyFill="1" applyBorder="1" applyAlignment="1">
      <alignment horizontal="center" vertical="center" wrapText="1"/>
    </xf>
    <xf numFmtId="0" fontId="52" fillId="9" borderId="0" xfId="11" applyFont="1" applyFill="1" applyBorder="1" applyAlignment="1">
      <alignment horizontal="left" vertical="center" wrapText="1" indent="1"/>
    </xf>
    <xf numFmtId="0" fontId="52" fillId="9" borderId="0" xfId="8" applyNumberFormat="1" applyFont="1" applyFill="1" applyBorder="1" applyAlignment="1">
      <alignment horizontal="center" vertical="center"/>
    </xf>
    <xf numFmtId="0" fontId="52" fillId="9" borderId="0" xfId="0" applyFont="1" applyFill="1" applyAlignment="1">
      <alignment horizontal="center"/>
    </xf>
    <xf numFmtId="0" fontId="52" fillId="9" borderId="36" xfId="0" applyFont="1" applyFill="1" applyBorder="1" applyAlignment="1">
      <alignment horizontal="center"/>
    </xf>
    <xf numFmtId="0" fontId="45" fillId="9" borderId="36" xfId="0" applyFont="1" applyFill="1" applyBorder="1" applyAlignment="1">
      <alignment horizontal="center" vertical="center" wrapText="1"/>
    </xf>
    <xf numFmtId="170" fontId="34" fillId="4" borderId="17" xfId="8" applyNumberFormat="1" applyFont="1" applyFill="1" applyBorder="1" applyAlignment="1">
      <alignment horizontal="center" vertical="center"/>
    </xf>
    <xf numFmtId="170" fontId="34" fillId="4" borderId="12" xfId="8" applyNumberFormat="1" applyFont="1" applyFill="1" applyBorder="1" applyAlignment="1">
      <alignment horizontal="center" vertical="center"/>
    </xf>
    <xf numFmtId="173" fontId="83" fillId="4" borderId="6" xfId="35" applyNumberFormat="1" applyFont="1" applyFill="1" applyBorder="1" applyAlignment="1">
      <alignment horizontal="center" vertical="center"/>
    </xf>
    <xf numFmtId="173" fontId="83" fillId="4" borderId="7" xfId="35" applyNumberFormat="1" applyFont="1" applyFill="1" applyBorder="1" applyAlignment="1">
      <alignment horizontal="center" vertical="center"/>
    </xf>
    <xf numFmtId="173" fontId="83" fillId="4" borderId="18" xfId="35" applyNumberFormat="1" applyFont="1" applyFill="1" applyBorder="1" applyAlignment="1">
      <alignment horizontal="center" vertical="center"/>
    </xf>
    <xf numFmtId="173" fontId="83" fillId="4" borderId="11" xfId="35" applyNumberFormat="1" applyFont="1" applyFill="1" applyBorder="1" applyAlignment="1">
      <alignment horizontal="center" vertical="center"/>
    </xf>
    <xf numFmtId="0" fontId="23" fillId="4" borderId="16" xfId="0" applyFont="1" applyFill="1" applyBorder="1" applyAlignment="1">
      <alignment horizontal="left" vertical="center" wrapText="1" indent="1" readingOrder="1"/>
    </xf>
    <xf numFmtId="0" fontId="23" fillId="4" borderId="10" xfId="0" applyFont="1" applyFill="1" applyBorder="1" applyAlignment="1">
      <alignment horizontal="left" vertical="center" wrapText="1" indent="1" readingOrder="1"/>
    </xf>
    <xf numFmtId="0" fontId="23" fillId="4" borderId="16" xfId="0" applyFont="1" applyFill="1" applyBorder="1" applyAlignment="1">
      <alignment horizontal="center" vertical="center" wrapText="1" readingOrder="1"/>
    </xf>
    <xf numFmtId="0" fontId="23" fillId="4" borderId="10" xfId="0" applyFont="1" applyFill="1" applyBorder="1" applyAlignment="1">
      <alignment horizontal="center" vertical="center" wrapText="1" readingOrder="1"/>
    </xf>
    <xf numFmtId="0" fontId="34" fillId="4" borderId="20" xfId="0" applyFont="1" applyFill="1" applyBorder="1" applyAlignment="1">
      <alignment horizontal="left" vertical="center" indent="1"/>
    </xf>
    <xf numFmtId="0" fontId="34" fillId="4" borderId="10" xfId="0" applyFont="1" applyFill="1" applyBorder="1" applyAlignment="1">
      <alignment horizontal="left" vertical="center" indent="1"/>
    </xf>
    <xf numFmtId="0" fontId="34" fillId="4" borderId="18" xfId="11" applyFont="1" applyFill="1" applyBorder="1" applyAlignment="1">
      <alignment horizontal="left" vertical="center" indent="1"/>
    </xf>
    <xf numFmtId="0" fontId="34" fillId="4" borderId="11" xfId="11" applyFont="1" applyFill="1" applyBorder="1" applyAlignment="1">
      <alignment horizontal="left" vertical="center" indent="1"/>
    </xf>
    <xf numFmtId="170" fontId="34" fillId="4" borderId="3" xfId="0" applyNumberFormat="1" applyFont="1" applyFill="1" applyBorder="1" applyAlignment="1">
      <alignment horizontal="center" vertical="center"/>
    </xf>
    <xf numFmtId="170" fontId="34" fillId="4" borderId="1" xfId="0" applyNumberFormat="1" applyFont="1" applyFill="1" applyBorder="1" applyAlignment="1">
      <alignment horizontal="center" vertical="center"/>
    </xf>
    <xf numFmtId="0" fontId="34" fillId="4" borderId="4" xfId="0" applyFont="1" applyFill="1" applyBorder="1" applyAlignment="1">
      <alignment horizontal="left" vertical="center" wrapText="1" indent="1"/>
    </xf>
    <xf numFmtId="0" fontId="45" fillId="9" borderId="0" xfId="0" applyFont="1" applyFill="1" applyBorder="1" applyAlignment="1">
      <alignment horizontal="left" vertical="center" wrapText="1" indent="1" readingOrder="1"/>
    </xf>
    <xf numFmtId="0" fontId="34" fillId="16" borderId="0" xfId="0" applyFont="1" applyFill="1" applyBorder="1" applyAlignment="1">
      <alignment horizontal="center" vertical="center" textRotation="90"/>
    </xf>
    <xf numFmtId="170" fontId="34" fillId="4" borderId="2" xfId="0" applyNumberFormat="1" applyFont="1" applyFill="1" applyBorder="1" applyAlignment="1">
      <alignment horizontal="center" vertical="center"/>
    </xf>
    <xf numFmtId="170" fontId="34" fillId="4" borderId="77" xfId="0" applyNumberFormat="1" applyFont="1" applyFill="1" applyBorder="1" applyAlignment="1">
      <alignment horizontal="center" vertical="center"/>
    </xf>
    <xf numFmtId="0" fontId="34" fillId="4" borderId="27" xfId="0" applyFont="1" applyFill="1" applyBorder="1" applyAlignment="1">
      <alignment horizontal="left" vertical="center" wrapText="1" indent="1"/>
    </xf>
    <xf numFmtId="0" fontId="34" fillId="4" borderId="23" xfId="0" applyFont="1" applyFill="1" applyBorder="1" applyAlignment="1">
      <alignment horizontal="left" vertical="center" wrapText="1" indent="1"/>
    </xf>
    <xf numFmtId="0" fontId="57" fillId="9" borderId="78" xfId="0" applyFont="1" applyFill="1" applyBorder="1" applyAlignment="1">
      <alignment horizontal="center" vertical="center" wrapText="1"/>
    </xf>
    <xf numFmtId="0" fontId="57" fillId="9" borderId="0" xfId="0" applyFont="1" applyFill="1" applyBorder="1" applyAlignment="1">
      <alignment horizontal="center" vertical="center" wrapText="1"/>
    </xf>
    <xf numFmtId="0" fontId="57" fillId="9" borderId="56" xfId="0" applyFont="1" applyFill="1" applyBorder="1" applyAlignment="1">
      <alignment horizontal="center" vertical="center" wrapText="1"/>
    </xf>
    <xf numFmtId="0" fontId="34" fillId="16" borderId="56" xfId="0" applyFont="1" applyFill="1" applyBorder="1" applyAlignment="1">
      <alignment horizontal="center" vertical="center" textRotation="90"/>
    </xf>
    <xf numFmtId="0" fontId="34" fillId="16" borderId="129" xfId="0" applyFont="1" applyFill="1" applyBorder="1" applyAlignment="1">
      <alignment horizontal="center" vertical="center" textRotation="90"/>
    </xf>
    <xf numFmtId="0" fontId="45" fillId="9" borderId="0" xfId="0" applyFont="1" applyFill="1" applyBorder="1" applyAlignment="1">
      <alignment horizontal="left" vertical="center" indent="1"/>
    </xf>
    <xf numFmtId="0" fontId="45" fillId="9" borderId="55" xfId="0" applyFont="1" applyFill="1" applyBorder="1" applyAlignment="1">
      <alignment horizontal="left" vertical="center" indent="1"/>
    </xf>
    <xf numFmtId="0" fontId="45" fillId="9" borderId="114" xfId="0" applyFont="1" applyFill="1" applyBorder="1" applyAlignment="1">
      <alignment horizontal="center" vertical="center" wrapText="1"/>
    </xf>
    <xf numFmtId="0" fontId="45" fillId="9" borderId="58" xfId="0" applyFont="1" applyFill="1" applyBorder="1" applyAlignment="1">
      <alignment horizontal="center" vertical="center" wrapText="1"/>
    </xf>
    <xf numFmtId="0" fontId="45" fillId="9" borderId="78" xfId="0" applyFont="1" applyFill="1" applyBorder="1" applyAlignment="1">
      <alignment horizontal="center" vertical="center" wrapText="1"/>
    </xf>
    <xf numFmtId="0" fontId="45" fillId="9" borderId="56" xfId="0" applyFont="1" applyFill="1" applyBorder="1" applyAlignment="1">
      <alignment horizontal="center" vertical="center" wrapText="1"/>
    </xf>
    <xf numFmtId="2" fontId="45" fillId="9" borderId="75" xfId="0" applyNumberFormat="1" applyFont="1" applyFill="1" applyBorder="1" applyAlignment="1">
      <alignment horizontal="center" vertical="center" wrapText="1"/>
    </xf>
    <xf numFmtId="2" fontId="45" fillId="9" borderId="60" xfId="0" applyNumberFormat="1" applyFont="1" applyFill="1" applyBorder="1" applyAlignment="1">
      <alignment horizontal="center" vertical="center" wrapText="1"/>
    </xf>
    <xf numFmtId="2" fontId="45" fillId="9" borderId="76" xfId="0" applyNumberFormat="1" applyFont="1" applyFill="1" applyBorder="1" applyAlignment="1">
      <alignment horizontal="center" vertical="center" wrapText="1"/>
    </xf>
    <xf numFmtId="0" fontId="45" fillId="9" borderId="55" xfId="0" applyFont="1" applyFill="1" applyBorder="1" applyAlignment="1">
      <alignment horizontal="center" vertical="center"/>
    </xf>
    <xf numFmtId="0" fontId="45" fillId="9" borderId="59" xfId="0" applyFont="1" applyFill="1" applyBorder="1" applyAlignment="1">
      <alignment horizontal="center" vertical="center" wrapText="1"/>
    </xf>
    <xf numFmtId="170" fontId="34" fillId="4" borderId="0" xfId="0" applyNumberFormat="1" applyFont="1" applyFill="1" applyBorder="1" applyAlignment="1">
      <alignment horizontal="center" vertical="center"/>
    </xf>
    <xf numFmtId="170" fontId="34" fillId="4" borderId="11" xfId="0" applyNumberFormat="1" applyFont="1" applyFill="1" applyBorder="1" applyAlignment="1">
      <alignment horizontal="center" vertical="center"/>
    </xf>
    <xf numFmtId="170" fontId="34" fillId="4" borderId="18" xfId="0" applyNumberFormat="1" applyFont="1" applyFill="1" applyBorder="1" applyAlignment="1">
      <alignment horizontal="center" vertical="center"/>
    </xf>
    <xf numFmtId="170" fontId="34" fillId="4" borderId="126" xfId="0" applyNumberFormat="1" applyFont="1" applyFill="1" applyBorder="1" applyAlignment="1">
      <alignment horizontal="center" vertical="center"/>
    </xf>
    <xf numFmtId="9" fontId="52" fillId="9" borderId="0" xfId="0" applyNumberFormat="1" applyFont="1" applyFill="1" applyBorder="1" applyAlignment="1">
      <alignment horizontal="left" vertical="center" indent="1"/>
    </xf>
    <xf numFmtId="0" fontId="45" fillId="9" borderId="81" xfId="0" applyFont="1" applyFill="1" applyBorder="1" applyAlignment="1">
      <alignment horizontal="left" vertical="center" indent="1"/>
    </xf>
    <xf numFmtId="0" fontId="45" fillId="9" borderId="43" xfId="0" applyFont="1" applyFill="1" applyBorder="1" applyAlignment="1">
      <alignment horizontal="left" vertical="center" indent="1"/>
    </xf>
    <xf numFmtId="0" fontId="45" fillId="9" borderId="108" xfId="0" applyFont="1" applyFill="1" applyBorder="1" applyAlignment="1">
      <alignment horizontal="center" vertical="center"/>
    </xf>
    <xf numFmtId="0" fontId="45" fillId="9" borderId="94" xfId="0" applyFont="1" applyFill="1" applyBorder="1" applyAlignment="1">
      <alignment horizontal="center" vertical="center"/>
    </xf>
    <xf numFmtId="0" fontId="45" fillId="9" borderId="109" xfId="0" applyFont="1" applyFill="1" applyBorder="1" applyAlignment="1">
      <alignment horizontal="center" vertical="center"/>
    </xf>
    <xf numFmtId="170" fontId="34" fillId="4" borderId="56" xfId="0" applyNumberFormat="1" applyFont="1" applyFill="1" applyBorder="1" applyAlignment="1">
      <alignment horizontal="center" vertical="center"/>
    </xf>
    <xf numFmtId="170" fontId="34" fillId="4" borderId="29" xfId="0" applyNumberFormat="1" applyFont="1" applyFill="1" applyBorder="1" applyAlignment="1">
      <alignment horizontal="center" vertical="center"/>
    </xf>
    <xf numFmtId="170" fontId="34" fillId="4" borderId="110" xfId="0" applyNumberFormat="1" applyFont="1" applyFill="1" applyBorder="1" applyAlignment="1">
      <alignment horizontal="center" vertical="center"/>
    </xf>
    <xf numFmtId="0" fontId="45" fillId="9" borderId="79" xfId="0" applyFont="1" applyFill="1" applyBorder="1" applyAlignment="1">
      <alignment horizontal="center" vertical="center" wrapText="1"/>
    </xf>
    <xf numFmtId="0" fontId="45" fillId="9" borderId="43" xfId="0" applyFont="1" applyFill="1" applyBorder="1" applyAlignment="1">
      <alignment horizontal="center" vertical="center" wrapText="1"/>
    </xf>
    <xf numFmtId="0" fontId="45" fillId="9" borderId="44" xfId="0" applyFont="1" applyFill="1" applyBorder="1" applyAlignment="1">
      <alignment horizontal="center" vertical="center" wrapText="1"/>
    </xf>
    <xf numFmtId="0" fontId="45" fillId="9" borderId="43" xfId="0" applyFont="1" applyFill="1" applyBorder="1" applyAlignment="1">
      <alignment horizontal="center" vertical="center"/>
    </xf>
    <xf numFmtId="0" fontId="45" fillId="9" borderId="80" xfId="0" applyFont="1" applyFill="1" applyBorder="1" applyAlignment="1">
      <alignment horizontal="center" vertical="center"/>
    </xf>
    <xf numFmtId="0" fontId="45" fillId="9" borderId="60" xfId="0" applyFont="1" applyFill="1" applyBorder="1" applyAlignment="1">
      <alignment horizontal="center" vertical="center"/>
    </xf>
    <xf numFmtId="0" fontId="52" fillId="9" borderId="73" xfId="0" applyFont="1" applyFill="1" applyBorder="1" applyAlignment="1">
      <alignment horizontal="center" vertical="center" wrapText="1"/>
    </xf>
    <xf numFmtId="0" fontId="61" fillId="9" borderId="73" xfId="0" applyFont="1" applyFill="1" applyBorder="1" applyAlignment="1">
      <alignment horizontal="center" vertical="center"/>
    </xf>
    <xf numFmtId="0" fontId="61" fillId="9" borderId="36" xfId="0" applyFont="1" applyFill="1" applyBorder="1" applyAlignment="1">
      <alignment horizontal="center" vertical="center"/>
    </xf>
    <xf numFmtId="0" fontId="57" fillId="9" borderId="73" xfId="0" applyFont="1" applyFill="1" applyBorder="1" applyAlignment="1">
      <alignment horizontal="center" vertical="center" wrapText="1"/>
    </xf>
    <xf numFmtId="0" fontId="57" fillId="9" borderId="36" xfId="0" applyFont="1" applyFill="1" applyBorder="1" applyAlignment="1">
      <alignment horizontal="center" vertical="center" wrapText="1"/>
    </xf>
    <xf numFmtId="0" fontId="45" fillId="9" borderId="81" xfId="0" applyFont="1" applyFill="1" applyBorder="1" applyAlignment="1">
      <alignment horizontal="left" vertical="center" wrapText="1" indent="1"/>
    </xf>
    <xf numFmtId="0" fontId="45" fillId="9" borderId="55" xfId="0" applyFont="1" applyFill="1" applyBorder="1" applyAlignment="1">
      <alignment horizontal="left" vertical="center" wrapText="1" indent="1"/>
    </xf>
    <xf numFmtId="0" fontId="34" fillId="4" borderId="2" xfId="7" applyFont="1" applyFill="1" applyBorder="1" applyAlignment="1">
      <alignment horizontal="left" vertical="center" wrapText="1" indent="1"/>
    </xf>
    <xf numFmtId="0" fontId="34" fillId="4" borderId="11" xfId="7" applyFont="1" applyFill="1" applyBorder="1" applyAlignment="1">
      <alignment horizontal="left" vertical="center" wrapText="1" indent="1"/>
    </xf>
    <xf numFmtId="0" fontId="45" fillId="9" borderId="60" xfId="0" applyFont="1" applyFill="1" applyBorder="1" applyAlignment="1">
      <alignment horizontal="center" vertical="center" wrapText="1"/>
    </xf>
    <xf numFmtId="0" fontId="45" fillId="9" borderId="74" xfId="0" applyFont="1" applyFill="1" applyBorder="1" applyAlignment="1">
      <alignment horizontal="center" vertical="center" wrapText="1"/>
    </xf>
    <xf numFmtId="0" fontId="45" fillId="9" borderId="73" xfId="0" applyFont="1" applyFill="1" applyBorder="1" applyAlignment="1">
      <alignment horizontal="center" vertical="center" wrapText="1"/>
    </xf>
    <xf numFmtId="170" fontId="34" fillId="4" borderId="18" xfId="0" applyNumberFormat="1" applyFont="1" applyFill="1" applyBorder="1" applyAlignment="1">
      <alignment horizontal="center" vertical="center" wrapText="1"/>
    </xf>
    <xf numFmtId="170" fontId="34" fillId="4" borderId="11" xfId="0" applyNumberFormat="1" applyFont="1" applyFill="1" applyBorder="1" applyAlignment="1">
      <alignment horizontal="center" vertical="center" wrapText="1"/>
    </xf>
    <xf numFmtId="170" fontId="34" fillId="4" borderId="6" xfId="0" applyNumberFormat="1" applyFont="1" applyFill="1" applyBorder="1" applyAlignment="1">
      <alignment horizontal="center" vertical="center" wrapText="1"/>
    </xf>
    <xf numFmtId="170" fontId="34" fillId="4" borderId="7" xfId="0" applyNumberFormat="1" applyFont="1" applyFill="1" applyBorder="1" applyAlignment="1">
      <alignment horizontal="center" vertical="center" wrapText="1"/>
    </xf>
    <xf numFmtId="170" fontId="34" fillId="4" borderId="17" xfId="0" applyNumberFormat="1" applyFont="1" applyFill="1" applyBorder="1" applyAlignment="1">
      <alignment horizontal="center" vertical="center" wrapText="1"/>
    </xf>
    <xf numFmtId="170" fontId="34" fillId="4" borderId="12" xfId="0" applyNumberFormat="1" applyFont="1" applyFill="1" applyBorder="1" applyAlignment="1">
      <alignment horizontal="center" vertical="center" wrapText="1"/>
    </xf>
    <xf numFmtId="0" fontId="34" fillId="4" borderId="0" xfId="0" applyFont="1" applyFill="1" applyBorder="1" applyAlignment="1">
      <alignment horizontal="center" vertical="center" textRotation="90" wrapText="1"/>
    </xf>
    <xf numFmtId="0" fontId="34" fillId="4" borderId="2" xfId="0" applyFont="1" applyFill="1" applyBorder="1" applyAlignment="1">
      <alignment horizontal="center" vertical="center" textRotation="90" wrapText="1"/>
    </xf>
    <xf numFmtId="9" fontId="52" fillId="9" borderId="0" xfId="0" applyNumberFormat="1" applyFont="1" applyFill="1" applyBorder="1" applyAlignment="1">
      <alignment horizontal="center" vertical="center"/>
    </xf>
    <xf numFmtId="9" fontId="52" fillId="9" borderId="36" xfId="0" applyNumberFormat="1" applyFont="1" applyFill="1" applyBorder="1" applyAlignment="1">
      <alignment horizontal="center" vertical="center"/>
    </xf>
    <xf numFmtId="0" fontId="52" fillId="9" borderId="73" xfId="0" applyFont="1" applyFill="1" applyBorder="1" applyAlignment="1">
      <alignment horizontal="center" vertical="center"/>
    </xf>
    <xf numFmtId="0" fontId="45" fillId="9" borderId="86" xfId="0" applyFont="1" applyFill="1" applyBorder="1" applyAlignment="1">
      <alignment horizontal="center" vertical="center" wrapText="1"/>
    </xf>
    <xf numFmtId="170" fontId="34" fillId="4" borderId="112" xfId="0" applyNumberFormat="1" applyFont="1" applyFill="1" applyBorder="1" applyAlignment="1">
      <alignment horizontal="center" vertical="center"/>
    </xf>
    <xf numFmtId="170" fontId="34" fillId="4" borderId="111" xfId="0" applyNumberFormat="1" applyFont="1" applyFill="1" applyBorder="1" applyAlignment="1">
      <alignment horizontal="center" vertical="center"/>
    </xf>
    <xf numFmtId="170" fontId="34" fillId="4" borderId="113" xfId="0" applyNumberFormat="1" applyFont="1" applyFill="1" applyBorder="1" applyAlignment="1">
      <alignment horizontal="center" vertical="center"/>
    </xf>
    <xf numFmtId="0" fontId="34" fillId="4" borderId="30" xfId="0" applyFont="1" applyFill="1" applyBorder="1" applyAlignment="1">
      <alignment horizontal="center" vertical="center"/>
    </xf>
    <xf numFmtId="0" fontId="34" fillId="4" borderId="27" xfId="0" applyFont="1" applyFill="1" applyBorder="1" applyAlignment="1">
      <alignment horizontal="center" vertical="center"/>
    </xf>
    <xf numFmtId="0" fontId="34" fillId="4" borderId="23" xfId="0" applyFont="1" applyFill="1" applyBorder="1" applyAlignment="1">
      <alignment horizontal="center" vertical="center"/>
    </xf>
    <xf numFmtId="0" fontId="30" fillId="25" borderId="124" xfId="0" applyFont="1" applyFill="1" applyBorder="1" applyAlignment="1">
      <alignment horizontal="center" vertical="center"/>
    </xf>
    <xf numFmtId="0" fontId="30" fillId="25" borderId="121" xfId="0" applyFont="1" applyFill="1" applyBorder="1" applyAlignment="1">
      <alignment horizontal="center" vertical="center"/>
    </xf>
    <xf numFmtId="172" fontId="19" fillId="25" borderId="123" xfId="0" applyNumberFormat="1" applyFont="1" applyFill="1" applyBorder="1" applyAlignment="1">
      <alignment horizontal="center" vertical="center"/>
    </xf>
    <xf numFmtId="172" fontId="19" fillId="25" borderId="117" xfId="0" applyNumberFormat="1" applyFont="1" applyFill="1" applyBorder="1" applyAlignment="1">
      <alignment horizontal="center" vertical="center"/>
    </xf>
    <xf numFmtId="172" fontId="19" fillId="25" borderId="118" xfId="0" applyNumberFormat="1" applyFont="1" applyFill="1" applyBorder="1" applyAlignment="1">
      <alignment horizontal="center" vertical="center"/>
    </xf>
    <xf numFmtId="172" fontId="80" fillId="4" borderId="124" xfId="0" applyNumberFormat="1" applyFont="1" applyFill="1" applyBorder="1" applyAlignment="1">
      <alignment horizontal="center" vertical="center"/>
    </xf>
    <xf numFmtId="172" fontId="80" fillId="4" borderId="121" xfId="0" applyNumberFormat="1" applyFont="1" applyFill="1" applyBorder="1" applyAlignment="1">
      <alignment horizontal="center" vertical="center"/>
    </xf>
    <xf numFmtId="172" fontId="80" fillId="4" borderId="122" xfId="0" applyNumberFormat="1" applyFont="1" applyFill="1" applyBorder="1" applyAlignment="1">
      <alignment horizontal="center" vertical="center"/>
    </xf>
    <xf numFmtId="0" fontId="45" fillId="15" borderId="73" xfId="0" applyFont="1" applyFill="1" applyBorder="1" applyAlignment="1">
      <alignment horizontal="center" vertical="center" wrapText="1"/>
    </xf>
    <xf numFmtId="0" fontId="45" fillId="15" borderId="0" xfId="0" applyFont="1" applyFill="1" applyBorder="1" applyAlignment="1">
      <alignment horizontal="center" vertical="center" wrapText="1"/>
    </xf>
    <xf numFmtId="0" fontId="45" fillId="15" borderId="36" xfId="0" applyFont="1" applyFill="1" applyBorder="1" applyAlignment="1">
      <alignment horizontal="center" vertical="center" wrapText="1"/>
    </xf>
    <xf numFmtId="170" fontId="19" fillId="25" borderId="27" xfId="31" applyNumberFormat="1" applyFont="1" applyFill="1" applyBorder="1" applyAlignment="1">
      <alignment horizontal="center" vertical="center"/>
    </xf>
    <xf numFmtId="170" fontId="19" fillId="25" borderId="23" xfId="31" applyNumberFormat="1" applyFont="1" applyFill="1" applyBorder="1" applyAlignment="1">
      <alignment horizontal="center" vertical="center"/>
    </xf>
    <xf numFmtId="0" fontId="30" fillId="25" borderId="122" xfId="0" applyFont="1" applyFill="1" applyBorder="1" applyAlignment="1">
      <alignment horizontal="center" vertical="center"/>
    </xf>
    <xf numFmtId="172" fontId="80" fillId="25" borderId="20" xfId="0" applyNumberFormat="1" applyFont="1" applyFill="1" applyBorder="1" applyAlignment="1">
      <alignment horizontal="center" vertical="center"/>
    </xf>
    <xf numFmtId="172" fontId="80" fillId="25" borderId="16" xfId="0" applyNumberFormat="1" applyFont="1" applyFill="1" applyBorder="1" applyAlignment="1">
      <alignment horizontal="center" vertical="center"/>
    </xf>
    <xf numFmtId="172" fontId="80" fillId="25" borderId="10" xfId="0" applyNumberFormat="1" applyFont="1" applyFill="1" applyBorder="1" applyAlignment="1">
      <alignment horizontal="center" vertical="center"/>
    </xf>
    <xf numFmtId="172" fontId="80" fillId="25" borderId="116" xfId="0" applyNumberFormat="1" applyFont="1" applyFill="1" applyBorder="1" applyAlignment="1">
      <alignment horizontal="center" vertical="center"/>
    </xf>
    <xf numFmtId="172" fontId="80" fillId="25" borderId="117" xfId="0" applyNumberFormat="1" applyFont="1" applyFill="1" applyBorder="1" applyAlignment="1">
      <alignment horizontal="center" vertical="center"/>
    </xf>
    <xf numFmtId="172" fontId="80" fillId="25" borderId="118" xfId="0" applyNumberFormat="1" applyFont="1" applyFill="1" applyBorder="1" applyAlignment="1">
      <alignment horizontal="center" vertical="center"/>
    </xf>
    <xf numFmtId="172" fontId="80" fillId="25" borderId="120" xfId="0" applyNumberFormat="1" applyFont="1" applyFill="1" applyBorder="1" applyAlignment="1">
      <alignment horizontal="center" vertical="center"/>
    </xf>
    <xf numFmtId="172" fontId="80" fillId="25" borderId="121" xfId="0" applyNumberFormat="1" applyFont="1" applyFill="1" applyBorder="1" applyAlignment="1">
      <alignment horizontal="center" vertical="center"/>
    </xf>
    <xf numFmtId="172" fontId="80" fillId="25" borderId="122" xfId="0" applyNumberFormat="1" applyFont="1" applyFill="1" applyBorder="1" applyAlignment="1">
      <alignment horizontal="center" vertical="center"/>
    </xf>
    <xf numFmtId="172" fontId="80" fillId="25" borderId="123" xfId="0" applyNumberFormat="1" applyFont="1" applyFill="1" applyBorder="1" applyAlignment="1">
      <alignment horizontal="center" vertical="center"/>
    </xf>
    <xf numFmtId="172" fontId="80" fillId="25" borderId="124" xfId="0" applyNumberFormat="1" applyFont="1" applyFill="1" applyBorder="1" applyAlignment="1">
      <alignment horizontal="center" vertical="center"/>
    </xf>
    <xf numFmtId="0" fontId="34" fillId="16" borderId="104" xfId="0" applyFont="1" applyFill="1" applyBorder="1" applyAlignment="1">
      <alignment horizontal="center" vertical="center" textRotation="90"/>
    </xf>
    <xf numFmtId="0" fontId="45" fillId="15" borderId="2" xfId="0" applyFont="1" applyFill="1" applyBorder="1" applyAlignment="1">
      <alignment horizontal="left" vertical="center" indent="1"/>
    </xf>
    <xf numFmtId="0" fontId="45" fillId="15" borderId="82" xfId="0" applyFont="1" applyFill="1" applyBorder="1" applyAlignment="1">
      <alignment horizontal="left" vertical="center" indent="1"/>
    </xf>
    <xf numFmtId="0" fontId="45" fillId="15" borderId="115" xfId="0" applyFont="1" applyFill="1" applyBorder="1" applyAlignment="1">
      <alignment horizontal="center" vertical="center" wrapText="1"/>
    </xf>
    <xf numFmtId="0" fontId="45" fillId="15" borderId="83" xfId="0" applyFont="1" applyFill="1" applyBorder="1" applyAlignment="1">
      <alignment horizontal="center" vertical="center" wrapText="1"/>
    </xf>
    <xf numFmtId="0" fontId="45" fillId="15" borderId="84" xfId="0" applyFont="1" applyFill="1" applyBorder="1" applyAlignment="1">
      <alignment horizontal="center" vertical="center"/>
    </xf>
    <xf numFmtId="0" fontId="45" fillId="15" borderId="85" xfId="0" applyFont="1" applyFill="1" applyBorder="1" applyAlignment="1">
      <alignment horizontal="center" vertical="center"/>
    </xf>
    <xf numFmtId="0" fontId="45" fillId="15" borderId="0" xfId="0" applyFont="1" applyFill="1" applyBorder="1" applyAlignment="1">
      <alignment horizontal="left" vertical="center" indent="1"/>
    </xf>
    <xf numFmtId="0" fontId="45" fillId="15" borderId="36" xfId="0" applyFont="1" applyFill="1" applyBorder="1" applyAlignment="1">
      <alignment horizontal="center" vertical="center"/>
    </xf>
    <xf numFmtId="172" fontId="80" fillId="4" borderId="123" xfId="0" applyNumberFormat="1" applyFont="1" applyFill="1" applyBorder="1" applyAlignment="1">
      <alignment horizontal="center" vertical="center"/>
    </xf>
    <xf numFmtId="172" fontId="80" fillId="4" borderId="117" xfId="0" applyNumberFormat="1" applyFont="1" applyFill="1" applyBorder="1" applyAlignment="1">
      <alignment horizontal="center" vertical="center"/>
    </xf>
    <xf numFmtId="172" fontId="80" fillId="4" borderId="118" xfId="0" applyNumberFormat="1" applyFont="1" applyFill="1" applyBorder="1" applyAlignment="1">
      <alignment horizontal="center" vertical="center"/>
    </xf>
    <xf numFmtId="172" fontId="80" fillId="4" borderId="127" xfId="0" applyNumberFormat="1" applyFont="1" applyFill="1" applyBorder="1" applyAlignment="1">
      <alignment horizontal="center" vertical="center"/>
    </xf>
    <xf numFmtId="172" fontId="80" fillId="4" borderId="128" xfId="0" applyNumberFormat="1" applyFont="1" applyFill="1" applyBorder="1" applyAlignment="1">
      <alignment horizontal="center" vertical="center"/>
    </xf>
    <xf numFmtId="172" fontId="80" fillId="4" borderId="119" xfId="0" applyNumberFormat="1" applyFont="1" applyFill="1" applyBorder="1" applyAlignment="1">
      <alignment horizontal="center" vertical="center"/>
    </xf>
    <xf numFmtId="170" fontId="34" fillId="4" borderId="20" xfId="0" applyNumberFormat="1" applyFont="1" applyFill="1" applyBorder="1" applyAlignment="1">
      <alignment horizontal="center" vertical="center"/>
    </xf>
    <xf numFmtId="0" fontId="45" fillId="9" borderId="0" xfId="0" applyFont="1" applyFill="1" applyBorder="1" applyAlignment="1">
      <alignment horizontal="center"/>
    </xf>
    <xf numFmtId="0" fontId="45" fillId="9" borderId="36" xfId="0" applyFont="1" applyFill="1" applyBorder="1" applyAlignment="1">
      <alignment horizontal="center"/>
    </xf>
    <xf numFmtId="0" fontId="19" fillId="4" borderId="22" xfId="0" applyFont="1" applyFill="1" applyBorder="1" applyAlignment="1">
      <alignment horizontal="left" vertical="center" indent="1"/>
    </xf>
    <xf numFmtId="0" fontId="19" fillId="4" borderId="13" xfId="0" applyFont="1" applyFill="1" applyBorder="1" applyAlignment="1">
      <alignment horizontal="left" vertical="center" indent="1"/>
    </xf>
    <xf numFmtId="0" fontId="19" fillId="4" borderId="31" xfId="0" applyFont="1" applyFill="1" applyBorder="1" applyAlignment="1">
      <alignment horizontal="left" vertical="center" indent="1"/>
    </xf>
    <xf numFmtId="0" fontId="19" fillId="4" borderId="19" xfId="0" applyFont="1" applyFill="1" applyBorder="1" applyAlignment="1">
      <alignment horizontal="left" vertical="center" indent="1"/>
    </xf>
    <xf numFmtId="0" fontId="19" fillId="4" borderId="28" xfId="0" applyFont="1" applyFill="1" applyBorder="1" applyAlignment="1">
      <alignment horizontal="left" vertical="center" indent="1"/>
    </xf>
    <xf numFmtId="0" fontId="19" fillId="4" borderId="30" xfId="0" applyFont="1" applyFill="1" applyBorder="1" applyAlignment="1">
      <alignment horizontal="left" vertical="center" wrapText="1" indent="1"/>
    </xf>
    <xf numFmtId="0" fontId="19" fillId="4" borderId="23" xfId="0" applyFont="1" applyFill="1" applyBorder="1" applyAlignment="1">
      <alignment horizontal="left" vertical="center" wrapText="1" indent="1"/>
    </xf>
    <xf numFmtId="0" fontId="34" fillId="4" borderId="34" xfId="0" applyFont="1" applyFill="1" applyBorder="1" applyAlignment="1">
      <alignment horizontal="left" vertical="center" indent="1"/>
    </xf>
    <xf numFmtId="0" fontId="34" fillId="4" borderId="17" xfId="0" applyFont="1" applyFill="1" applyBorder="1" applyAlignment="1">
      <alignment horizontal="left" vertical="center" indent="1"/>
    </xf>
    <xf numFmtId="0" fontId="47" fillId="4" borderId="0" xfId="0" applyFont="1" applyFill="1" applyBorder="1" applyAlignment="1">
      <alignment horizontal="left" vertical="center" wrapText="1"/>
    </xf>
    <xf numFmtId="0" fontId="34" fillId="16" borderId="1" xfId="0" applyFont="1" applyFill="1" applyBorder="1" applyAlignment="1">
      <alignment horizontal="center" vertical="center" textRotation="90"/>
    </xf>
    <xf numFmtId="0" fontId="34" fillId="16" borderId="89" xfId="0" applyFont="1" applyFill="1" applyBorder="1" applyAlignment="1">
      <alignment horizontal="center" vertical="center" textRotation="90"/>
    </xf>
    <xf numFmtId="170" fontId="80" fillId="4" borderId="17" xfId="0" applyNumberFormat="1" applyFont="1" applyFill="1" applyBorder="1" applyAlignment="1">
      <alignment horizontal="center" vertical="center"/>
    </xf>
    <xf numFmtId="170" fontId="80" fillId="4" borderId="12" xfId="0" applyNumberFormat="1" applyFont="1" applyFill="1" applyBorder="1" applyAlignment="1">
      <alignment horizontal="center" vertical="center"/>
    </xf>
    <xf numFmtId="170" fontId="19" fillId="4" borderId="22" xfId="0" applyNumberFormat="1" applyFont="1" applyFill="1" applyBorder="1" applyAlignment="1">
      <alignment horizontal="center" vertical="center"/>
    </xf>
    <xf numFmtId="170" fontId="19" fillId="4" borderId="13" xfId="0" applyNumberFormat="1" applyFont="1" applyFill="1" applyBorder="1" applyAlignment="1">
      <alignment horizontal="center" vertical="center"/>
    </xf>
    <xf numFmtId="0" fontId="45" fillId="9" borderId="49" xfId="0" applyFont="1" applyFill="1" applyBorder="1" applyAlignment="1">
      <alignment horizontal="center" vertical="center"/>
    </xf>
    <xf numFmtId="0" fontId="45" fillId="9" borderId="73" xfId="0" applyFont="1" applyFill="1" applyBorder="1" applyAlignment="1">
      <alignment horizontal="left" vertical="center" indent="1"/>
    </xf>
    <xf numFmtId="0" fontId="45" fillId="9" borderId="53" xfId="0" applyFont="1" applyFill="1" applyBorder="1" applyAlignment="1">
      <alignment horizontal="left" vertical="center" indent="1"/>
    </xf>
    <xf numFmtId="0" fontId="80" fillId="4" borderId="18" xfId="0" applyFont="1" applyFill="1" applyBorder="1" applyAlignment="1">
      <alignment horizontal="center" vertical="center"/>
    </xf>
    <xf numFmtId="0" fontId="80" fillId="4" borderId="11" xfId="0" applyFont="1" applyFill="1" applyBorder="1" applyAlignment="1">
      <alignment horizontal="center" vertical="center"/>
    </xf>
    <xf numFmtId="170" fontId="19" fillId="4" borderId="3" xfId="0" applyNumberFormat="1" applyFont="1" applyFill="1" applyBorder="1" applyAlignment="1">
      <alignment horizontal="center" vertical="center"/>
    </xf>
    <xf numFmtId="170" fontId="19" fillId="4" borderId="0" xfId="0" applyNumberFormat="1" applyFont="1" applyFill="1" applyBorder="1" applyAlignment="1">
      <alignment horizontal="center" vertical="center"/>
    </xf>
    <xf numFmtId="170" fontId="19" fillId="4" borderId="17" xfId="0" applyNumberFormat="1" applyFont="1" applyFill="1" applyBorder="1" applyAlignment="1">
      <alignment horizontal="center" vertical="center"/>
    </xf>
    <xf numFmtId="170" fontId="19" fillId="4" borderId="29" xfId="0" applyNumberFormat="1" applyFont="1" applyFill="1" applyBorder="1" applyAlignment="1">
      <alignment horizontal="center" vertical="center"/>
    </xf>
    <xf numFmtId="170" fontId="80" fillId="4" borderId="22" xfId="0" applyNumberFormat="1" applyFont="1" applyFill="1" applyBorder="1" applyAlignment="1">
      <alignment horizontal="center" vertical="center"/>
    </xf>
    <xf numFmtId="170" fontId="80" fillId="4" borderId="31" xfId="0" applyNumberFormat="1" applyFont="1" applyFill="1" applyBorder="1" applyAlignment="1">
      <alignment horizontal="center" vertical="center"/>
    </xf>
    <xf numFmtId="6" fontId="52" fillId="9" borderId="0" xfId="0" applyNumberFormat="1" applyFont="1" applyFill="1" applyBorder="1" applyAlignment="1">
      <alignment horizontal="center" vertical="center"/>
    </xf>
    <xf numFmtId="6" fontId="52" fillId="9" borderId="36" xfId="0" applyNumberFormat="1" applyFont="1" applyFill="1" applyBorder="1" applyAlignment="1">
      <alignment horizontal="center" vertical="center"/>
    </xf>
    <xf numFmtId="171" fontId="19" fillId="4" borderId="3" xfId="0" applyNumberFormat="1" applyFont="1" applyFill="1" applyBorder="1" applyAlignment="1">
      <alignment horizontal="center" vertical="center"/>
    </xf>
    <xf numFmtId="171" fontId="19" fillId="4" borderId="1" xfId="0" applyNumberFormat="1" applyFont="1" applyFill="1" applyBorder="1" applyAlignment="1">
      <alignment horizontal="center" vertical="center"/>
    </xf>
    <xf numFmtId="171" fontId="19" fillId="4" borderId="17" xfId="0" applyNumberFormat="1" applyFont="1" applyFill="1" applyBorder="1" applyAlignment="1">
      <alignment horizontal="center" vertical="center"/>
    </xf>
    <xf numFmtId="171" fontId="19" fillId="4" borderId="12" xfId="0" applyNumberFormat="1" applyFont="1" applyFill="1" applyBorder="1" applyAlignment="1">
      <alignment horizontal="center" vertical="center"/>
    </xf>
    <xf numFmtId="171" fontId="80" fillId="4" borderId="22" xfId="0" applyNumberFormat="1" applyFont="1" applyFill="1" applyBorder="1" applyAlignment="1">
      <alignment horizontal="center" vertical="center"/>
    </xf>
    <xf numFmtId="171" fontId="80" fillId="4" borderId="13" xfId="0" applyNumberFormat="1" applyFont="1" applyFill="1" applyBorder="1" applyAlignment="1">
      <alignment horizontal="center" vertical="center"/>
    </xf>
    <xf numFmtId="0" fontId="19" fillId="0" borderId="87" xfId="0" applyFont="1" applyBorder="1" applyAlignment="1">
      <alignment horizontal="left" vertical="center" indent="1"/>
    </xf>
    <xf numFmtId="0" fontId="19" fillId="0" borderId="88" xfId="0" applyFont="1" applyBorder="1" applyAlignment="1">
      <alignment horizontal="left" vertical="center" indent="1"/>
    </xf>
    <xf numFmtId="0" fontId="19" fillId="0" borderId="30" xfId="0" applyFont="1" applyBorder="1" applyAlignment="1">
      <alignment horizontal="left" vertical="center" wrapText="1" indent="1"/>
    </xf>
    <xf numFmtId="0" fontId="19" fillId="0" borderId="23" xfId="0" applyFont="1" applyBorder="1" applyAlignment="1">
      <alignment horizontal="left" vertical="center" wrapText="1" indent="1"/>
    </xf>
    <xf numFmtId="0" fontId="55" fillId="9" borderId="0" xfId="0" applyFont="1" applyFill="1" applyBorder="1" applyAlignment="1">
      <alignment horizontal="center" vertical="center"/>
    </xf>
    <xf numFmtId="0" fontId="55" fillId="9" borderId="36" xfId="0" applyFont="1" applyFill="1" applyBorder="1" applyAlignment="1">
      <alignment horizontal="center" vertical="center"/>
    </xf>
    <xf numFmtId="0" fontId="34" fillId="4" borderId="9" xfId="0" applyFont="1" applyFill="1" applyBorder="1" applyAlignment="1">
      <alignment horizontal="left" vertical="center" indent="1"/>
    </xf>
    <xf numFmtId="0" fontId="34" fillId="4" borderId="4" xfId="0" applyFont="1" applyFill="1" applyBorder="1" applyAlignment="1">
      <alignment horizontal="left" vertical="center" indent="1"/>
    </xf>
    <xf numFmtId="0" fontId="34" fillId="4" borderId="8" xfId="0" applyFont="1" applyFill="1" applyBorder="1" applyAlignment="1">
      <alignment horizontal="left" vertical="center" indent="1"/>
    </xf>
    <xf numFmtId="0" fontId="34" fillId="4" borderId="16" xfId="0" applyFont="1" applyFill="1" applyBorder="1" applyAlignment="1">
      <alignment horizontal="left" vertical="center" indent="1"/>
    </xf>
    <xf numFmtId="0" fontId="2" fillId="4" borderId="0" xfId="0" applyNumberFormat="1" applyFont="1" applyFill="1" applyBorder="1" applyAlignment="1">
      <alignment horizontal="left" vertical="center" wrapText="1"/>
    </xf>
    <xf numFmtId="0" fontId="19" fillId="3" borderId="0" xfId="0" applyNumberFormat="1" applyFont="1" applyFill="1" applyAlignment="1">
      <alignment horizontal="left" vertical="center" wrapText="1"/>
    </xf>
    <xf numFmtId="0" fontId="34" fillId="4" borderId="0" xfId="0" applyFont="1" applyFill="1" applyAlignment="1"/>
    <xf numFmtId="0" fontId="55" fillId="9" borderId="37" xfId="0" applyFont="1" applyFill="1" applyBorder="1" applyAlignment="1">
      <alignment horizontal="center" vertical="center" wrapText="1"/>
    </xf>
    <xf numFmtId="0" fontId="55" fillId="9" borderId="49" xfId="0" applyFont="1" applyFill="1" applyBorder="1" applyAlignment="1">
      <alignment horizontal="center" vertical="center" wrapText="1"/>
    </xf>
    <xf numFmtId="0" fontId="34" fillId="4" borderId="22" xfId="0" applyFont="1" applyFill="1" applyBorder="1" applyAlignment="1">
      <alignment horizontal="left" vertical="center" indent="1"/>
    </xf>
    <xf numFmtId="0" fontId="34" fillId="4" borderId="13" xfId="0" applyFont="1" applyFill="1" applyBorder="1" applyAlignment="1">
      <alignment horizontal="left" vertical="center" indent="1"/>
    </xf>
    <xf numFmtId="49" fontId="19" fillId="0" borderId="106" xfId="0" applyNumberFormat="1" applyFont="1" applyBorder="1" applyAlignment="1">
      <alignment horizontal="center" vertical="center"/>
    </xf>
    <xf numFmtId="49" fontId="19" fillId="0" borderId="16" xfId="0" applyNumberFormat="1" applyFont="1" applyBorder="1" applyAlignment="1">
      <alignment horizontal="center" vertical="center"/>
    </xf>
    <xf numFmtId="49" fontId="19" fillId="0" borderId="10" xfId="0" applyNumberFormat="1" applyFont="1" applyBorder="1" applyAlignment="1">
      <alignment horizontal="center" vertical="center"/>
    </xf>
    <xf numFmtId="0" fontId="19" fillId="0" borderId="30" xfId="0" applyFont="1" applyBorder="1" applyAlignment="1">
      <alignment horizontal="left" vertical="top" wrapText="1" indent="1"/>
    </xf>
    <xf numFmtId="0" fontId="19" fillId="0" borderId="23" xfId="0" applyFont="1" applyBorder="1" applyAlignment="1">
      <alignment horizontal="left" vertical="top" wrapText="1" indent="1"/>
    </xf>
    <xf numFmtId="0" fontId="19" fillId="0" borderId="30" xfId="0" applyFont="1" applyBorder="1" applyAlignment="1">
      <alignment horizontal="left" vertical="center" indent="1"/>
    </xf>
    <xf numFmtId="0" fontId="19" fillId="0" borderId="23" xfId="0" applyFont="1" applyBorder="1" applyAlignment="1">
      <alignment horizontal="left" vertical="center" indent="1"/>
    </xf>
    <xf numFmtId="0" fontId="19" fillId="0" borderId="87" xfId="0" applyFont="1" applyBorder="1" applyAlignment="1">
      <alignment horizontal="left" vertical="top" wrapText="1" indent="1"/>
    </xf>
    <xf numFmtId="0" fontId="19" fillId="0" borderId="88" xfId="0" applyFont="1" applyBorder="1" applyAlignment="1">
      <alignment horizontal="left" vertical="top" wrapText="1" indent="1"/>
    </xf>
    <xf numFmtId="0" fontId="3" fillId="4" borderId="0" xfId="0" applyNumberFormat="1" applyFont="1" applyFill="1" applyBorder="1" applyAlignment="1">
      <alignment horizontal="left" vertical="center" wrapText="1"/>
    </xf>
    <xf numFmtId="0" fontId="29" fillId="3" borderId="0" xfId="0" applyFont="1" applyFill="1" applyAlignment="1">
      <alignment horizontal="center" vertical="center"/>
    </xf>
    <xf numFmtId="0" fontId="26" fillId="0" borderId="0" xfId="5" applyAlignment="1">
      <alignment horizontal="left" vertical="center"/>
    </xf>
    <xf numFmtId="0" fontId="0" fillId="0" borderId="0" xfId="0" applyAlignment="1">
      <alignment horizontal="left" vertical="center"/>
    </xf>
    <xf numFmtId="0" fontId="4" fillId="4" borderId="0" xfId="0" applyFont="1" applyFill="1" applyAlignment="1">
      <alignment horizontal="right" wrapText="1"/>
    </xf>
    <xf numFmtId="0" fontId="26" fillId="4" borderId="0" xfId="5" applyFill="1" applyAlignment="1" applyProtection="1">
      <alignment horizontal="left"/>
    </xf>
    <xf numFmtId="0" fontId="0" fillId="4" borderId="0" xfId="0" applyFill="1" applyAlignment="1">
      <alignment horizontal="left"/>
    </xf>
    <xf numFmtId="0" fontId="8" fillId="3" borderId="0" xfId="0" applyFont="1" applyFill="1" applyAlignment="1">
      <alignment horizontal="center" vertical="center" wrapText="1"/>
    </xf>
    <xf numFmtId="0" fontId="26" fillId="4" borderId="0" xfId="5" applyFill="1" applyAlignment="1" applyProtection="1">
      <alignment horizontal="left" vertical="top" wrapText="1"/>
    </xf>
    <xf numFmtId="0" fontId="8" fillId="4" borderId="0" xfId="0" applyFont="1" applyFill="1" applyAlignment="1">
      <alignment horizontal="left" vertical="top" wrapText="1"/>
    </xf>
  </cellXfs>
  <cellStyles count="39">
    <cellStyle name="Dziesiętny" xfId="1" builtinId="3"/>
    <cellStyle name="Dziesiętny 2" xfId="2" xr:uid="{00000000-0005-0000-0000-000001000000}"/>
    <cellStyle name="Dziesiętny 2 2" xfId="3" xr:uid="{00000000-0005-0000-0000-000002000000}"/>
    <cellStyle name="Dziesiętny 3" xfId="4" xr:uid="{00000000-0005-0000-0000-000003000000}"/>
    <cellStyle name="Hiperłącze" xfId="5" builtinId="8"/>
    <cellStyle name="Hiperłącze 2" xfId="6" xr:uid="{00000000-0005-0000-0000-000005000000}"/>
    <cellStyle name="Normalny" xfId="0" builtinId="0"/>
    <cellStyle name="Normalny 10" xfId="7" xr:uid="{00000000-0005-0000-0000-000007000000}"/>
    <cellStyle name="Normalny 10 2" xfId="8" xr:uid="{00000000-0005-0000-0000-000008000000}"/>
    <cellStyle name="Normalny 11" xfId="9" xr:uid="{00000000-0005-0000-0000-000009000000}"/>
    <cellStyle name="Normalny 12" xfId="10" xr:uid="{00000000-0005-0000-0000-00000A000000}"/>
    <cellStyle name="Normalny 13" xfId="11" xr:uid="{00000000-0005-0000-0000-00000B000000}"/>
    <cellStyle name="Normalny 2" xfId="12" xr:uid="{00000000-0005-0000-0000-00000C000000}"/>
    <cellStyle name="Normalny 3" xfId="13" xr:uid="{00000000-0005-0000-0000-00000D000000}"/>
    <cellStyle name="Normalny 3 2" xfId="14" xr:uid="{00000000-0005-0000-0000-00000E000000}"/>
    <cellStyle name="Normalny 4" xfId="15" xr:uid="{00000000-0005-0000-0000-00000F000000}"/>
    <cellStyle name="Normalny 4 2" xfId="16" xr:uid="{00000000-0005-0000-0000-000010000000}"/>
    <cellStyle name="Normalny 5" xfId="17" xr:uid="{00000000-0005-0000-0000-000011000000}"/>
    <cellStyle name="Normalny 5 2" xfId="18" xr:uid="{00000000-0005-0000-0000-000012000000}"/>
    <cellStyle name="Normalny 5 2 2" xfId="19" xr:uid="{00000000-0005-0000-0000-000013000000}"/>
    <cellStyle name="Normalny 5 3" xfId="20" xr:uid="{00000000-0005-0000-0000-000014000000}"/>
    <cellStyle name="Normalny 6" xfId="21" xr:uid="{00000000-0005-0000-0000-000015000000}"/>
    <cellStyle name="Normalny 6 2" xfId="22" xr:uid="{00000000-0005-0000-0000-000016000000}"/>
    <cellStyle name="Normalny 7" xfId="23" xr:uid="{00000000-0005-0000-0000-000017000000}"/>
    <cellStyle name="Normalny 7 2" xfId="24" xr:uid="{00000000-0005-0000-0000-000018000000}"/>
    <cellStyle name="Normalny 7 2 2" xfId="25" xr:uid="{00000000-0005-0000-0000-000019000000}"/>
    <cellStyle name="Normalny 7 3" xfId="26" xr:uid="{00000000-0005-0000-0000-00001A000000}"/>
    <cellStyle name="Normalny 8" xfId="27" xr:uid="{00000000-0005-0000-0000-00001B000000}"/>
    <cellStyle name="Normalny 8 2" xfId="28" xr:uid="{00000000-0005-0000-0000-00001C000000}"/>
    <cellStyle name="Normalny 9" xfId="29" xr:uid="{00000000-0005-0000-0000-00001D000000}"/>
    <cellStyle name="Normalny 9 2" xfId="30" xr:uid="{00000000-0005-0000-0000-00001E000000}"/>
    <cellStyle name="Procentowy" xfId="31" builtinId="5"/>
    <cellStyle name="Procentowy 2" xfId="32" xr:uid="{00000000-0005-0000-0000-000020000000}"/>
    <cellStyle name="Procentowy 2 2" xfId="33" xr:uid="{00000000-0005-0000-0000-000021000000}"/>
    <cellStyle name="Procentowy 3" xfId="34" xr:uid="{00000000-0005-0000-0000-000022000000}"/>
    <cellStyle name="Walutowy" xfId="35" builtinId="4"/>
    <cellStyle name="Walutowy 2" xfId="36" xr:uid="{00000000-0005-0000-0000-000024000000}"/>
    <cellStyle name="Walutowy 2 2" xfId="37" xr:uid="{00000000-0005-0000-0000-000025000000}"/>
    <cellStyle name="Walutowy 3" xfId="38" xr:uid="{00000000-0005-0000-0000-00002600000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35AD8"/>
      <color rgb="FF3C31CD"/>
      <color rgb="FF2A2593"/>
      <color rgb="FF9A5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9" fmlaLink="$A$30" fmlaRange="$Z$7:$Z$8"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7.png"/><Relationship Id="rId7" Type="http://schemas.openxmlformats.org/officeDocument/2006/relationships/image" Target="../media/image10.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4.png"/><Relationship Id="rId5" Type="http://schemas.openxmlformats.org/officeDocument/2006/relationships/image" Target="../media/image9.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6</xdr:row>
      <xdr:rowOff>9525</xdr:rowOff>
    </xdr:from>
    <xdr:to>
      <xdr:col>1</xdr:col>
      <xdr:colOff>438150</xdr:colOff>
      <xdr:row>6</xdr:row>
      <xdr:rowOff>304800</xdr:rowOff>
    </xdr:to>
    <xdr:pic>
      <xdr:nvPicPr>
        <xdr:cNvPr id="1078208" name="Obraz 15" descr="http://a.wpimg.pl/a/i/stg/550/wpw.png">
          <a:extLst>
            <a:ext uri="{FF2B5EF4-FFF2-40B4-BE49-F238E27FC236}">
              <a16:creationId xmlns:a16="http://schemas.microsoft.com/office/drawing/2014/main" id="{00000000-0008-0000-0000-0000C0731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981075"/>
          <a:ext cx="4286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xdr:row>
      <xdr:rowOff>9525</xdr:rowOff>
    </xdr:from>
    <xdr:to>
      <xdr:col>4</xdr:col>
      <xdr:colOff>0</xdr:colOff>
      <xdr:row>7</xdr:row>
      <xdr:rowOff>295275</xdr:rowOff>
    </xdr:to>
    <xdr:sp macro="" textlink="">
      <xdr:nvSpPr>
        <xdr:cNvPr id="1039372" name="Drop Down 12" hidden="1">
          <a:extLst>
            <a:ext uri="{63B3BB69-23CF-44E3-9099-C40C66FF867C}">
              <a14:compatExt xmlns:a14="http://schemas.microsoft.com/office/drawing/2010/main" spid="_x0000_s1039372"/>
            </a:ext>
            <a:ext uri="{FF2B5EF4-FFF2-40B4-BE49-F238E27FC236}">
              <a16:creationId xmlns:a16="http://schemas.microsoft.com/office/drawing/2014/main" id="{00000000-0008-0000-0000-00000CDC0F00}"/>
            </a:ext>
          </a:extLst>
        </xdr:cNvPr>
        <xdr:cNvSpPr/>
      </xdr:nvSpPr>
      <xdr:spPr>
        <a:xfrm>
          <a:off x="0" y="0"/>
          <a:ext cx="0" cy="0"/>
        </a:xfrm>
        <a:prstGeom prst="rect">
          <a:avLst/>
        </a:prstGeom>
      </xdr:spPr>
    </xdr:sp>
    <xdr:clientData/>
  </xdr:twoCellAnchor>
  <xdr:twoCellAnchor editAs="oneCell">
    <xdr:from>
      <xdr:col>1</xdr:col>
      <xdr:colOff>0</xdr:colOff>
      <xdr:row>7</xdr:row>
      <xdr:rowOff>66675</xdr:rowOff>
    </xdr:from>
    <xdr:to>
      <xdr:col>1</xdr:col>
      <xdr:colOff>266700</xdr:colOff>
      <xdr:row>7</xdr:row>
      <xdr:rowOff>228600</xdr:rowOff>
    </xdr:to>
    <xdr:pic>
      <xdr:nvPicPr>
        <xdr:cNvPr id="1078209" name="Obraz 7" descr="Znalezione obrazy dla zapytania flaga pl wikipedia">
          <a:extLst>
            <a:ext uri="{FF2B5EF4-FFF2-40B4-BE49-F238E27FC236}">
              <a16:creationId xmlns:a16="http://schemas.microsoft.com/office/drawing/2014/main" id="{00000000-0008-0000-0000-0000C173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1475" y="1495425"/>
          <a:ext cx="2667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285750</xdr:colOff>
      <xdr:row>7</xdr:row>
      <xdr:rowOff>76200</xdr:rowOff>
    </xdr:from>
    <xdr:to>
      <xdr:col>2</xdr:col>
      <xdr:colOff>0</xdr:colOff>
      <xdr:row>7</xdr:row>
      <xdr:rowOff>238125</xdr:rowOff>
    </xdr:to>
    <xdr:pic>
      <xdr:nvPicPr>
        <xdr:cNvPr id="1078210" name="Obraz 8">
          <a:extLst>
            <a:ext uri="{FF2B5EF4-FFF2-40B4-BE49-F238E27FC236}">
              <a16:creationId xmlns:a16="http://schemas.microsoft.com/office/drawing/2014/main" id="{00000000-0008-0000-0000-0000C2731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7225" y="1504950"/>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444212</xdr:colOff>
      <xdr:row>5</xdr:row>
      <xdr:rowOff>58486</xdr:rowOff>
    </xdr:to>
    <xdr:pic>
      <xdr:nvPicPr>
        <xdr:cNvPr id="7" name="Picture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2</xdr:col>
          <xdr:colOff>19050</xdr:colOff>
          <xdr:row>7</xdr:row>
          <xdr:rowOff>9525</xdr:rowOff>
        </xdr:from>
        <xdr:to>
          <xdr:col>4</xdr:col>
          <xdr:colOff>19050</xdr:colOff>
          <xdr:row>7</xdr:row>
          <xdr:rowOff>295275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xdr:col>
      <xdr:colOff>723900</xdr:colOff>
      <xdr:row>7</xdr:row>
      <xdr:rowOff>28575</xdr:rowOff>
    </xdr:from>
    <xdr:to>
      <xdr:col>2</xdr:col>
      <xdr:colOff>1628775</xdr:colOff>
      <xdr:row>9</xdr:row>
      <xdr:rowOff>561975</xdr:rowOff>
    </xdr:to>
    <xdr:pic>
      <xdr:nvPicPr>
        <xdr:cNvPr id="1085460" name="Obraz 4">
          <a:extLst>
            <a:ext uri="{FF2B5EF4-FFF2-40B4-BE49-F238E27FC236}">
              <a16:creationId xmlns:a16="http://schemas.microsoft.com/office/drawing/2014/main" id="{00000000-0008-0000-0900-000014901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1362075"/>
          <a:ext cx="904875"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350520</xdr:colOff>
      <xdr:row>7</xdr:row>
      <xdr:rowOff>41275</xdr:rowOff>
    </xdr:from>
    <xdr:to>
      <xdr:col>2</xdr:col>
      <xdr:colOff>549315</xdr:colOff>
      <xdr:row>9</xdr:row>
      <xdr:rowOff>508130</xdr:rowOff>
    </xdr:to>
    <xdr:pic>
      <xdr:nvPicPr>
        <xdr:cNvPr id="963985" name="Picture 2">
          <a:extLst>
            <a:ext uri="{FF2B5EF4-FFF2-40B4-BE49-F238E27FC236}">
              <a16:creationId xmlns:a16="http://schemas.microsoft.com/office/drawing/2014/main" id="{00000000-0008-0000-0900-000091B50E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42900" y="1381125"/>
          <a:ext cx="1377863" cy="86046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31</xdr:row>
      <xdr:rowOff>142875</xdr:rowOff>
    </xdr:from>
    <xdr:to>
      <xdr:col>2</xdr:col>
      <xdr:colOff>104775</xdr:colOff>
      <xdr:row>34</xdr:row>
      <xdr:rowOff>104775</xdr:rowOff>
    </xdr:to>
    <xdr:pic>
      <xdr:nvPicPr>
        <xdr:cNvPr id="1083540" name="Obraz 14" descr="1.png">
          <a:extLst>
            <a:ext uri="{FF2B5EF4-FFF2-40B4-BE49-F238E27FC236}">
              <a16:creationId xmlns:a16="http://schemas.microsoft.com/office/drawing/2014/main" id="{00000000-0008-0000-0100-000094881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79152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58</xdr:row>
      <xdr:rowOff>9525</xdr:rowOff>
    </xdr:from>
    <xdr:to>
      <xdr:col>2</xdr:col>
      <xdr:colOff>885825</xdr:colOff>
      <xdr:row>60</xdr:row>
      <xdr:rowOff>85725</xdr:rowOff>
    </xdr:to>
    <xdr:pic>
      <xdr:nvPicPr>
        <xdr:cNvPr id="1083541" name="Picture 2" descr="image003">
          <a:extLst>
            <a:ext uri="{FF2B5EF4-FFF2-40B4-BE49-F238E27FC236}">
              <a16:creationId xmlns:a16="http://schemas.microsoft.com/office/drawing/2014/main" id="{00000000-0008-0000-0100-000095881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1020425"/>
          <a:ext cx="13430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xdr:row>
      <xdr:rowOff>0</xdr:rowOff>
    </xdr:from>
    <xdr:to>
      <xdr:col>2</xdr:col>
      <xdr:colOff>428625</xdr:colOff>
      <xdr:row>7</xdr:row>
      <xdr:rowOff>142875</xdr:rowOff>
    </xdr:to>
    <xdr:pic>
      <xdr:nvPicPr>
        <xdr:cNvPr id="1083542" name="Obraz 15" descr="http://a.wpimg.pl/a/i/stg/550/wpw.png">
          <a:extLst>
            <a:ext uri="{FF2B5EF4-FFF2-40B4-BE49-F238E27FC236}">
              <a16:creationId xmlns:a16="http://schemas.microsoft.com/office/drawing/2014/main" id="{00000000-0008-0000-0100-000096881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4350" y="971550"/>
          <a:ext cx="42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98</xdr:row>
      <xdr:rowOff>0</xdr:rowOff>
    </xdr:from>
    <xdr:to>
      <xdr:col>2</xdr:col>
      <xdr:colOff>104775</xdr:colOff>
      <xdr:row>98</xdr:row>
      <xdr:rowOff>304800</xdr:rowOff>
    </xdr:to>
    <xdr:pic>
      <xdr:nvPicPr>
        <xdr:cNvPr id="1083543" name="Obraz 15" descr="http://a.wpimg.pl/a/i/stg/550/wpw.png">
          <a:extLst>
            <a:ext uri="{FF2B5EF4-FFF2-40B4-BE49-F238E27FC236}">
              <a16:creationId xmlns:a16="http://schemas.microsoft.com/office/drawing/2014/main" id="{00000000-0008-0000-0100-000097881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17811750"/>
          <a:ext cx="42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68</xdr:row>
      <xdr:rowOff>66675</xdr:rowOff>
    </xdr:from>
    <xdr:to>
      <xdr:col>2</xdr:col>
      <xdr:colOff>676275</xdr:colOff>
      <xdr:row>70</xdr:row>
      <xdr:rowOff>66675</xdr:rowOff>
    </xdr:to>
    <xdr:pic>
      <xdr:nvPicPr>
        <xdr:cNvPr id="1083544" name="Obraz 2">
          <a:extLst>
            <a:ext uri="{FF2B5EF4-FFF2-40B4-BE49-F238E27FC236}">
              <a16:creationId xmlns:a16="http://schemas.microsoft.com/office/drawing/2014/main" id="{00000000-0008-0000-0100-000098881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1925" y="14316075"/>
          <a:ext cx="10287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78</xdr:row>
      <xdr:rowOff>76200</xdr:rowOff>
    </xdr:from>
    <xdr:to>
      <xdr:col>3</xdr:col>
      <xdr:colOff>200025</xdr:colOff>
      <xdr:row>80</xdr:row>
      <xdr:rowOff>85725</xdr:rowOff>
    </xdr:to>
    <xdr:pic>
      <xdr:nvPicPr>
        <xdr:cNvPr id="1083545" name="Obraz 2">
          <a:extLst>
            <a:ext uri="{FF2B5EF4-FFF2-40B4-BE49-F238E27FC236}">
              <a16:creationId xmlns:a16="http://schemas.microsoft.com/office/drawing/2014/main" id="{00000000-0008-0000-0100-000099881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3825" y="14487525"/>
          <a:ext cx="18288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891676</xdr:colOff>
      <xdr:row>5</xdr:row>
      <xdr:rowOff>58486</xdr:rowOff>
    </xdr:to>
    <xdr:pic>
      <xdr:nvPicPr>
        <xdr:cNvPr id="17" name="Picture 2">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twoCellAnchor editAs="oneCell">
    <xdr:from>
      <xdr:col>1</xdr:col>
      <xdr:colOff>0</xdr:colOff>
      <xdr:row>89</xdr:row>
      <xdr:rowOff>76200</xdr:rowOff>
    </xdr:from>
    <xdr:to>
      <xdr:col>3</xdr:col>
      <xdr:colOff>257175</xdr:colOff>
      <xdr:row>91</xdr:row>
      <xdr:rowOff>85725</xdr:rowOff>
    </xdr:to>
    <xdr:pic>
      <xdr:nvPicPr>
        <xdr:cNvPr id="1083549" name="Obraz 1">
          <a:extLst>
            <a:ext uri="{FF2B5EF4-FFF2-40B4-BE49-F238E27FC236}">
              <a16:creationId xmlns:a16="http://schemas.microsoft.com/office/drawing/2014/main" id="{00000000-0008-0000-0100-00009D881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0500" y="16268700"/>
          <a:ext cx="18192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52</xdr:row>
      <xdr:rowOff>76201</xdr:rowOff>
    </xdr:from>
    <xdr:to>
      <xdr:col>2</xdr:col>
      <xdr:colOff>990600</xdr:colOff>
      <xdr:row>54</xdr:row>
      <xdr:rowOff>70169</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2875" y="11249026"/>
          <a:ext cx="1362075" cy="3178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1025026</xdr:colOff>
      <xdr:row>5</xdr:row>
      <xdr:rowOff>58486</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02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1021901</xdr:colOff>
      <xdr:row>5</xdr:row>
      <xdr:rowOff>58486</xdr:rowOff>
    </xdr:to>
    <xdr:pic>
      <xdr:nvPicPr>
        <xdr:cNvPr id="7" name="Picture 2">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6276"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6" name="Picture 2">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1037866</xdr:colOff>
      <xdr:row>5</xdr:row>
      <xdr:rowOff>58486</xdr:rowOff>
    </xdr:to>
    <xdr:pic>
      <xdr:nvPicPr>
        <xdr:cNvPr id="4" name="Picture 2">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1028341</xdr:colOff>
      <xdr:row>5</xdr:row>
      <xdr:rowOff>58486</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341" cy="868111"/>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1031771</xdr:colOff>
      <xdr:row>5</xdr:row>
      <xdr:rowOff>53809</xdr:rowOff>
    </xdr:to>
    <xdr:pic>
      <xdr:nvPicPr>
        <xdr:cNvPr id="3" name="Pictur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1409700" cy="863434"/>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pic>
    <xdr:clientData/>
  </xdr:twoCellAnchor>
</xdr:wsDr>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reklama.wp.pl/kat,1039751,dokumenty.html" TargetMode="External"/><Relationship Id="rId1" Type="http://schemas.openxmlformats.org/officeDocument/2006/relationships/hyperlink" Target="http://reklama.wp.pl/kat,1039751,dokumenty.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Z32"/>
  <sheetViews>
    <sheetView zoomScaleNormal="100" workbookViewId="0">
      <pane ySplit="8" topLeftCell="A9" activePane="bottomLeft" state="frozen"/>
      <selection pane="bottomLeft"/>
    </sheetView>
  </sheetViews>
  <sheetFormatPr defaultColWidth="11.42578125" defaultRowHeight="12.75"/>
  <cols>
    <col min="1" max="1" width="5.5703125" style="128" customWidth="1"/>
    <col min="2" max="2" width="8.85546875" style="128" customWidth="1"/>
    <col min="3" max="4" width="30.85546875" style="128" customWidth="1"/>
    <col min="5" max="8" width="20" style="128" customWidth="1"/>
    <col min="9" max="9" width="17.85546875" style="128" customWidth="1"/>
    <col min="10" max="10" width="8.85546875" style="128" customWidth="1"/>
    <col min="11" max="11" width="38.42578125" style="128" customWidth="1"/>
    <col min="12" max="13" width="9.140625" style="128" customWidth="1"/>
    <col min="14" max="15" width="11.42578125" style="128" customWidth="1"/>
    <col min="16" max="16" width="9.140625" style="128" customWidth="1"/>
    <col min="17" max="16384" width="11.42578125" style="128"/>
  </cols>
  <sheetData>
    <row r="1" spans="1:26" ht="12.75" customHeight="1">
      <c r="A1" s="266"/>
      <c r="B1" s="266"/>
      <c r="C1" s="266"/>
      <c r="D1" s="266"/>
      <c r="E1" s="708" t="str">
        <f>IF($B$30="Polski",CONCATENATE("Cennik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F1" s="708"/>
      <c r="G1" s="708"/>
      <c r="H1" s="708"/>
      <c r="I1" s="18"/>
      <c r="J1" s="266"/>
      <c r="K1" s="708"/>
      <c r="L1" s="708"/>
      <c r="M1" s="708"/>
      <c r="N1" s="708"/>
      <c r="O1" s="708"/>
      <c r="P1" s="708"/>
      <c r="Q1" s="266"/>
      <c r="R1" s="266"/>
      <c r="S1" s="266"/>
      <c r="T1" s="266"/>
      <c r="U1" s="266"/>
      <c r="V1" s="266"/>
      <c r="W1" s="266"/>
      <c r="X1" s="266"/>
      <c r="Y1" s="266"/>
      <c r="Z1" s="266"/>
    </row>
    <row r="2" spans="1:26" ht="12.75" customHeight="1">
      <c r="A2" s="266"/>
      <c r="B2" s="266"/>
      <c r="C2" s="181"/>
      <c r="D2" s="18"/>
      <c r="E2" s="708"/>
      <c r="F2" s="708"/>
      <c r="G2" s="708"/>
      <c r="H2" s="708"/>
      <c r="I2" s="18"/>
      <c r="J2" s="268"/>
      <c r="K2" s="708"/>
      <c r="L2" s="708"/>
      <c r="M2" s="708"/>
      <c r="N2" s="708"/>
      <c r="O2" s="708"/>
      <c r="P2" s="708"/>
      <c r="Q2" s="266"/>
      <c r="R2" s="266"/>
      <c r="S2" s="266"/>
      <c r="T2" s="266"/>
      <c r="U2" s="266"/>
      <c r="V2" s="266"/>
      <c r="W2" s="266"/>
      <c r="X2" s="266"/>
      <c r="Y2" s="266"/>
      <c r="Z2" s="266"/>
    </row>
    <row r="3" spans="1:26">
      <c r="A3" s="266"/>
      <c r="B3" s="266"/>
      <c r="C3" s="266"/>
      <c r="D3" s="18"/>
      <c r="E3" s="708"/>
      <c r="F3" s="708"/>
      <c r="G3" s="708"/>
      <c r="H3" s="708"/>
      <c r="I3" s="18"/>
      <c r="J3" s="268"/>
      <c r="K3" s="708"/>
      <c r="L3" s="708"/>
      <c r="M3" s="708"/>
      <c r="N3" s="708"/>
      <c r="O3" s="708"/>
      <c r="P3" s="708"/>
      <c r="Q3" s="266"/>
      <c r="R3" s="266"/>
      <c r="S3" s="266"/>
      <c r="T3" s="266"/>
      <c r="U3" s="266"/>
      <c r="V3" s="266"/>
      <c r="W3" s="266"/>
      <c r="X3" s="266"/>
      <c r="Y3" s="266"/>
      <c r="Z3" s="266"/>
    </row>
    <row r="4" spans="1:26" s="34" customFormat="1" ht="12.75" customHeight="1">
      <c r="A4" s="269"/>
      <c r="B4" s="35" t="s">
        <v>0</v>
      </c>
      <c r="C4" s="269"/>
      <c r="D4" s="269"/>
      <c r="E4" s="269"/>
      <c r="F4" s="269"/>
      <c r="G4" s="269"/>
      <c r="H4" s="470" t="str">
        <f>IF('Język - Language'!$B$30="Polski","PL","EN")</f>
        <v>PL</v>
      </c>
      <c r="I4" s="269"/>
      <c r="J4" s="269"/>
      <c r="K4" s="269"/>
      <c r="L4" s="269"/>
      <c r="M4" s="269"/>
      <c r="N4" s="269"/>
      <c r="O4" s="269"/>
      <c r="P4" s="269"/>
      <c r="Q4" s="269"/>
      <c r="R4" s="269"/>
      <c r="S4" s="269"/>
      <c r="T4" s="269"/>
      <c r="U4" s="269"/>
      <c r="V4" s="269"/>
      <c r="W4" s="269"/>
      <c r="X4" s="269"/>
      <c r="Y4" s="269"/>
      <c r="Z4" s="269"/>
    </row>
    <row r="5" spans="1:26" s="110" customFormat="1" ht="12.75" customHeight="1">
      <c r="A5" s="264"/>
      <c r="B5" s="17"/>
      <c r="C5" s="264"/>
      <c r="D5" s="264"/>
      <c r="E5" s="264"/>
      <c r="F5" s="264"/>
      <c r="G5" s="264"/>
      <c r="H5" s="264"/>
      <c r="I5" s="264"/>
      <c r="J5" s="264"/>
      <c r="K5" s="264"/>
      <c r="L5" s="264"/>
      <c r="M5" s="264"/>
      <c r="N5" s="264"/>
      <c r="O5" s="264"/>
      <c r="P5" s="264"/>
      <c r="Q5" s="264"/>
      <c r="R5" s="264"/>
      <c r="S5" s="264"/>
      <c r="T5" s="264"/>
      <c r="U5" s="264"/>
      <c r="V5" s="264"/>
      <c r="W5" s="264"/>
      <c r="X5" s="264"/>
      <c r="Y5" s="264"/>
      <c r="Z5" s="264"/>
    </row>
    <row r="6" spans="1:26">
      <c r="A6" s="266"/>
      <c r="B6" s="264"/>
      <c r="C6" s="264"/>
      <c r="D6" s="264"/>
      <c r="E6" s="266"/>
      <c r="F6" s="266"/>
      <c r="G6" s="266"/>
      <c r="H6" s="266"/>
      <c r="I6" s="266"/>
      <c r="J6" s="264"/>
      <c r="K6" s="264"/>
      <c r="L6" s="264"/>
      <c r="M6" s="264"/>
      <c r="N6" s="264"/>
      <c r="O6" s="264"/>
      <c r="P6" s="264"/>
      <c r="Q6" s="266"/>
      <c r="R6" s="266"/>
      <c r="S6" s="266"/>
      <c r="T6" s="266"/>
      <c r="U6" s="266"/>
      <c r="V6" s="266"/>
      <c r="W6" s="266"/>
      <c r="X6" s="266"/>
      <c r="Y6" s="266"/>
      <c r="Z6" s="266"/>
    </row>
    <row r="7" spans="1:26" ht="36.200000000000003" customHeight="1">
      <c r="A7" s="264"/>
      <c r="B7" s="64"/>
      <c r="C7" s="124" t="s">
        <v>1</v>
      </c>
      <c r="D7" s="123" t="s">
        <v>2</v>
      </c>
      <c r="E7" s="93"/>
      <c r="F7" s="709"/>
      <c r="G7" s="709"/>
      <c r="H7" s="709"/>
      <c r="I7" s="709"/>
      <c r="J7" s="266"/>
      <c r="K7" s="711"/>
      <c r="L7" s="711"/>
      <c r="M7" s="711"/>
      <c r="N7" s="711"/>
      <c r="O7" s="711"/>
      <c r="P7" s="711"/>
      <c r="Q7" s="266"/>
      <c r="R7" s="266"/>
      <c r="S7" s="266"/>
      <c r="T7" s="266"/>
      <c r="U7" s="266"/>
      <c r="V7" s="266"/>
      <c r="W7" s="266"/>
      <c r="X7" s="266"/>
      <c r="Y7" s="266"/>
      <c r="Z7" s="139" t="s">
        <v>3</v>
      </c>
    </row>
    <row r="8" spans="1:26" ht="25.5" customHeight="1">
      <c r="A8" s="266"/>
      <c r="B8" s="125"/>
      <c r="C8" s="713" t="str">
        <f>INDEX(Z7:Z8,A30)</f>
        <v>Polski</v>
      </c>
      <c r="D8" s="713"/>
      <c r="E8" s="325"/>
      <c r="F8" s="710"/>
      <c r="G8" s="710"/>
      <c r="H8" s="710"/>
      <c r="I8" s="710"/>
      <c r="J8" s="264"/>
      <c r="K8" s="290"/>
      <c r="L8" s="714"/>
      <c r="M8" s="714"/>
      <c r="N8" s="714"/>
      <c r="O8" s="714"/>
      <c r="P8" s="714"/>
      <c r="Q8" s="266"/>
      <c r="R8" s="266"/>
      <c r="S8" s="266"/>
      <c r="T8" s="266"/>
      <c r="U8" s="266"/>
      <c r="V8" s="266"/>
      <c r="W8" s="266"/>
      <c r="X8" s="266"/>
      <c r="Y8" s="266"/>
      <c r="Z8" s="139" t="s">
        <v>4</v>
      </c>
    </row>
    <row r="9" spans="1:26" ht="25.35" customHeight="1">
      <c r="A9" s="266"/>
      <c r="B9" s="125"/>
      <c r="C9" s="715"/>
      <c r="D9" s="712"/>
      <c r="E9" s="289"/>
      <c r="F9" s="59"/>
      <c r="G9" s="60"/>
      <c r="H9" s="61"/>
      <c r="I9" s="61"/>
      <c r="J9" s="264"/>
      <c r="K9" s="81"/>
      <c r="L9" s="716"/>
      <c r="M9" s="716"/>
      <c r="N9" s="716"/>
      <c r="O9" s="716"/>
      <c r="P9" s="716"/>
      <c r="Q9" s="266"/>
      <c r="R9" s="266"/>
      <c r="S9" s="266"/>
      <c r="T9" s="266"/>
      <c r="U9" s="266"/>
      <c r="V9" s="266"/>
      <c r="W9" s="266"/>
      <c r="X9" s="266"/>
      <c r="Y9" s="266"/>
      <c r="Z9" s="266"/>
    </row>
    <row r="10" spans="1:26" ht="12.75" customHeight="1">
      <c r="A10" s="266"/>
      <c r="B10" s="125"/>
      <c r="C10" s="291"/>
      <c r="D10" s="289"/>
      <c r="E10" s="289"/>
      <c r="F10" s="59"/>
      <c r="G10" s="60"/>
      <c r="H10" s="61"/>
      <c r="I10" s="61"/>
      <c r="J10" s="264"/>
      <c r="K10" s="81"/>
      <c r="L10" s="292"/>
      <c r="M10" s="292"/>
      <c r="N10" s="292"/>
      <c r="O10" s="292"/>
      <c r="P10" s="292"/>
      <c r="Q10" s="266"/>
      <c r="R10" s="266"/>
      <c r="S10" s="266"/>
      <c r="T10" s="266"/>
      <c r="U10" s="266"/>
      <c r="V10" s="266"/>
      <c r="W10" s="266"/>
      <c r="X10" s="266"/>
      <c r="Y10" s="266"/>
      <c r="Z10" s="266"/>
    </row>
    <row r="11" spans="1:26">
      <c r="A11" s="266"/>
      <c r="B11" s="717"/>
      <c r="C11" s="718"/>
      <c r="D11" s="718"/>
      <c r="E11" s="718"/>
      <c r="F11" s="718"/>
      <c r="G11" s="718"/>
      <c r="H11" s="718"/>
      <c r="I11" s="61"/>
      <c r="J11" s="264"/>
      <c r="K11" s="81"/>
      <c r="L11" s="716"/>
      <c r="M11" s="716"/>
      <c r="N11" s="716"/>
      <c r="O11" s="716"/>
      <c r="P11" s="716"/>
      <c r="Q11" s="266"/>
      <c r="R11" s="266"/>
      <c r="S11" s="266"/>
      <c r="T11" s="266"/>
      <c r="U11" s="266"/>
      <c r="V11" s="266"/>
      <c r="W11" s="266"/>
      <c r="X11" s="266"/>
      <c r="Y11" s="266"/>
      <c r="Z11" s="266"/>
    </row>
    <row r="12" spans="1:26" ht="12.75" customHeight="1">
      <c r="A12" s="266"/>
      <c r="B12" s="718"/>
      <c r="C12" s="718"/>
      <c r="D12" s="718"/>
      <c r="E12" s="718"/>
      <c r="F12" s="718"/>
      <c r="G12" s="718"/>
      <c r="H12" s="718"/>
      <c r="I12" s="61"/>
      <c r="J12" s="264"/>
      <c r="K12" s="82"/>
      <c r="L12" s="719"/>
      <c r="M12" s="719"/>
      <c r="N12" s="719"/>
      <c r="O12" s="719"/>
      <c r="P12" s="719"/>
      <c r="Q12" s="266"/>
      <c r="R12" s="266"/>
      <c r="S12" s="266"/>
      <c r="T12" s="266"/>
      <c r="U12" s="266"/>
      <c r="V12" s="266"/>
      <c r="W12" s="266"/>
      <c r="X12" s="266"/>
      <c r="Y12" s="266"/>
      <c r="Z12" s="266"/>
    </row>
    <row r="13" spans="1:26" ht="12.75" customHeight="1">
      <c r="A13" s="266"/>
      <c r="B13" s="293"/>
      <c r="C13" s="293"/>
      <c r="D13" s="293"/>
      <c r="E13" s="293"/>
      <c r="F13" s="293"/>
      <c r="G13" s="293"/>
      <c r="H13" s="293"/>
      <c r="I13" s="61"/>
      <c r="J13" s="264"/>
      <c r="K13" s="82"/>
      <c r="L13" s="294"/>
      <c r="M13" s="294"/>
      <c r="N13" s="294"/>
      <c r="O13" s="294"/>
      <c r="P13" s="294"/>
      <c r="Q13" s="266"/>
      <c r="R13" s="266"/>
      <c r="S13" s="266"/>
      <c r="T13" s="266"/>
      <c r="U13" s="266"/>
      <c r="V13" s="266"/>
      <c r="W13" s="266"/>
      <c r="X13" s="266"/>
      <c r="Y13" s="266"/>
      <c r="Z13" s="266"/>
    </row>
    <row r="14" spans="1:26" ht="12.75" customHeight="1">
      <c r="A14" s="264"/>
      <c r="B14" s="182"/>
      <c r="C14" s="182"/>
      <c r="D14" s="182"/>
      <c r="E14" s="80"/>
      <c r="F14" s="41"/>
      <c r="G14" s="42"/>
      <c r="H14" s="43"/>
      <c r="I14" s="43"/>
      <c r="J14" s="264"/>
      <c r="K14" s="82"/>
      <c r="L14" s="294"/>
      <c r="M14" s="294"/>
      <c r="N14" s="294"/>
      <c r="O14" s="294"/>
      <c r="P14" s="294"/>
      <c r="Q14" s="266"/>
      <c r="R14" s="266"/>
      <c r="S14" s="266"/>
      <c r="T14" s="266"/>
      <c r="U14" s="266"/>
      <c r="V14" s="266"/>
      <c r="W14" s="266"/>
      <c r="X14" s="266"/>
      <c r="Y14" s="266"/>
      <c r="Z14" s="266"/>
    </row>
    <row r="15" spans="1:26">
      <c r="A15" s="264"/>
      <c r="B15" s="288"/>
      <c r="C15" s="288"/>
      <c r="D15" s="327"/>
      <c r="E15" s="288"/>
      <c r="F15" s="720"/>
      <c r="G15" s="288"/>
      <c r="H15" s="288"/>
      <c r="I15" s="40"/>
      <c r="J15" s="264"/>
      <c r="K15" s="81"/>
      <c r="L15" s="719"/>
      <c r="M15" s="719"/>
      <c r="N15" s="719"/>
      <c r="O15" s="719"/>
      <c r="P15" s="719"/>
      <c r="Q15" s="266"/>
      <c r="R15" s="266"/>
      <c r="S15" s="266"/>
      <c r="T15" s="266"/>
      <c r="U15" s="266"/>
      <c r="V15" s="266"/>
      <c r="W15" s="266"/>
      <c r="X15" s="266"/>
      <c r="Y15" s="266"/>
      <c r="Z15" s="266"/>
    </row>
    <row r="16" spans="1:26" ht="15">
      <c r="A16" s="264"/>
      <c r="B16" s="125"/>
      <c r="C16" s="129"/>
      <c r="D16" s="130"/>
      <c r="E16" s="131"/>
      <c r="F16" s="720"/>
      <c r="G16" s="132"/>
      <c r="H16" s="133"/>
      <c r="I16" s="133"/>
      <c r="J16" s="266"/>
      <c r="K16" s="83"/>
      <c r="L16" s="719"/>
      <c r="M16" s="719"/>
      <c r="N16" s="719"/>
      <c r="O16" s="719"/>
      <c r="P16" s="719"/>
      <c r="Q16" s="266"/>
      <c r="R16" s="266"/>
      <c r="S16" s="266"/>
      <c r="T16" s="266"/>
      <c r="U16" s="266"/>
      <c r="V16" s="266"/>
      <c r="W16" s="266"/>
      <c r="X16" s="266"/>
      <c r="Y16" s="266"/>
      <c r="Z16" s="266"/>
    </row>
    <row r="17" spans="1:16" ht="15">
      <c r="A17" s="264"/>
      <c r="B17" s="712"/>
      <c r="C17" s="712"/>
      <c r="D17" s="712"/>
      <c r="E17" s="712"/>
      <c r="F17" s="712"/>
      <c r="G17" s="712"/>
      <c r="H17" s="712"/>
      <c r="I17" s="134"/>
      <c r="J17" s="266"/>
      <c r="K17" s="290"/>
      <c r="L17" s="711"/>
      <c r="M17" s="711"/>
      <c r="N17" s="711"/>
      <c r="O17" s="711"/>
      <c r="P17" s="711"/>
    </row>
    <row r="18" spans="1:16">
      <c r="A18" s="266"/>
      <c r="B18" s="58"/>
      <c r="C18" s="58"/>
      <c r="D18" s="58"/>
      <c r="E18" s="58"/>
      <c r="F18" s="58"/>
      <c r="G18" s="58"/>
      <c r="H18" s="264"/>
      <c r="I18" s="264"/>
      <c r="J18" s="266"/>
      <c r="K18" s="264"/>
      <c r="L18" s="264"/>
      <c r="M18" s="264"/>
      <c r="N18" s="264"/>
      <c r="O18" s="264"/>
      <c r="P18" s="264"/>
    </row>
    <row r="19" spans="1:16" ht="25.5" customHeight="1">
      <c r="A19" s="266"/>
      <c r="B19" s="720"/>
      <c r="C19" s="288"/>
      <c r="D19" s="288"/>
      <c r="E19" s="288"/>
      <c r="F19" s="288"/>
      <c r="G19" s="288"/>
      <c r="H19" s="264"/>
      <c r="I19" s="264"/>
      <c r="J19" s="264"/>
      <c r="K19" s="127"/>
      <c r="L19" s="722"/>
      <c r="M19" s="722"/>
      <c r="N19" s="722"/>
      <c r="O19" s="722"/>
      <c r="P19" s="722"/>
    </row>
    <row r="20" spans="1:16" ht="25.5" customHeight="1">
      <c r="A20" s="266"/>
      <c r="B20" s="720"/>
      <c r="C20" s="135"/>
      <c r="D20" s="136"/>
      <c r="E20" s="135"/>
      <c r="F20" s="137"/>
      <c r="G20" s="138"/>
      <c r="H20" s="264"/>
      <c r="I20" s="264"/>
      <c r="J20" s="264"/>
      <c r="K20" s="125"/>
      <c r="L20" s="723"/>
      <c r="M20" s="723"/>
      <c r="N20" s="723"/>
      <c r="O20" s="723"/>
      <c r="P20" s="723"/>
    </row>
    <row r="21" spans="1:16" ht="25.5" customHeight="1">
      <c r="A21" s="266"/>
      <c r="B21" s="720"/>
      <c r="C21" s="135"/>
      <c r="D21" s="136"/>
      <c r="E21" s="135"/>
      <c r="F21" s="137"/>
      <c r="G21" s="138"/>
      <c r="H21" s="264"/>
      <c r="I21" s="264"/>
      <c r="J21" s="264"/>
      <c r="K21" s="125"/>
      <c r="L21" s="724"/>
      <c r="M21" s="724"/>
      <c r="N21" s="724"/>
      <c r="O21" s="724"/>
      <c r="P21" s="724"/>
    </row>
    <row r="22" spans="1:16" ht="25.5" customHeight="1">
      <c r="A22" s="266"/>
      <c r="B22" s="720"/>
      <c r="C22" s="135"/>
      <c r="D22" s="136"/>
      <c r="E22" s="135"/>
      <c r="F22" s="137"/>
      <c r="G22" s="138"/>
      <c r="H22" s="264"/>
      <c r="I22" s="264"/>
      <c r="J22" s="264"/>
      <c r="K22" s="125"/>
      <c r="L22" s="721"/>
      <c r="M22" s="721"/>
      <c r="N22" s="721"/>
      <c r="O22" s="721"/>
      <c r="P22" s="721"/>
    </row>
    <row r="23" spans="1:16" ht="25.5" customHeight="1">
      <c r="A23" s="266"/>
      <c r="B23" s="720"/>
      <c r="C23" s="135"/>
      <c r="D23" s="136"/>
      <c r="E23" s="135"/>
      <c r="F23" s="137"/>
      <c r="G23" s="138"/>
      <c r="H23" s="264"/>
      <c r="I23" s="264"/>
      <c r="J23" s="264"/>
      <c r="K23" s="125"/>
      <c r="L23" s="721"/>
      <c r="M23" s="721"/>
      <c r="N23" s="721"/>
      <c r="O23" s="721"/>
      <c r="P23" s="721"/>
    </row>
    <row r="24" spans="1:16" ht="25.5" customHeight="1">
      <c r="A24" s="266"/>
      <c r="B24" s="720"/>
      <c r="C24" s="135"/>
      <c r="D24" s="136"/>
      <c r="E24" s="135"/>
      <c r="F24" s="137"/>
      <c r="G24" s="138"/>
      <c r="H24" s="264"/>
      <c r="I24" s="264"/>
      <c r="J24" s="264"/>
      <c r="K24" s="125"/>
      <c r="L24" s="721"/>
      <c r="M24" s="721"/>
      <c r="N24" s="721"/>
      <c r="O24" s="721"/>
      <c r="P24" s="721"/>
    </row>
    <row r="25" spans="1:16" ht="25.5" customHeight="1">
      <c r="A25" s="266"/>
      <c r="B25" s="720"/>
      <c r="C25" s="135"/>
      <c r="D25" s="136"/>
      <c r="E25" s="135"/>
      <c r="F25" s="138"/>
      <c r="G25" s="138"/>
      <c r="H25" s="264"/>
      <c r="I25" s="264"/>
      <c r="J25" s="264"/>
      <c r="K25" s="125"/>
      <c r="L25" s="721"/>
      <c r="M25" s="721"/>
      <c r="N25" s="721"/>
      <c r="O25" s="721"/>
      <c r="P25" s="721"/>
    </row>
    <row r="26" spans="1:16" ht="25.5" customHeight="1">
      <c r="A26" s="266"/>
      <c r="B26" s="57"/>
      <c r="C26" s="264"/>
      <c r="D26" s="264"/>
      <c r="E26" s="264"/>
      <c r="F26" s="264"/>
      <c r="G26" s="264"/>
      <c r="H26" s="264"/>
      <c r="I26" s="264"/>
      <c r="J26" s="264"/>
      <c r="K26" s="125"/>
      <c r="L26" s="721"/>
      <c r="M26" s="721"/>
      <c r="N26" s="721"/>
      <c r="O26" s="721"/>
      <c r="P26" s="721"/>
    </row>
    <row r="27" spans="1:16" ht="25.5" customHeight="1">
      <c r="A27" s="266"/>
      <c r="B27" s="78"/>
      <c r="C27" s="39"/>
      <c r="D27" s="39"/>
      <c r="E27" s="39"/>
      <c r="F27" s="39"/>
      <c r="G27" s="39"/>
      <c r="H27" s="264"/>
      <c r="I27" s="264"/>
      <c r="J27" s="264"/>
      <c r="K27" s="125"/>
      <c r="L27" s="721"/>
      <c r="M27" s="721"/>
      <c r="N27" s="721"/>
      <c r="O27" s="721"/>
      <c r="P27" s="721"/>
    </row>
    <row r="28" spans="1:16" ht="25.5" customHeight="1">
      <c r="A28" s="266"/>
      <c r="B28" s="266"/>
      <c r="C28" s="266"/>
      <c r="D28" s="266"/>
      <c r="E28" s="266"/>
      <c r="F28" s="266"/>
      <c r="G28" s="266"/>
      <c r="H28" s="266"/>
      <c r="I28" s="266"/>
      <c r="J28" s="264"/>
      <c r="K28" s="126"/>
      <c r="L28" s="721"/>
      <c r="M28" s="721"/>
      <c r="N28" s="721"/>
      <c r="O28" s="721"/>
      <c r="P28" s="721"/>
    </row>
    <row r="29" spans="1:16" ht="25.5" customHeight="1">
      <c r="A29" s="266"/>
      <c r="B29" s="266"/>
      <c r="C29" s="266"/>
      <c r="D29" s="266"/>
      <c r="E29" s="266"/>
      <c r="F29" s="266"/>
      <c r="G29" s="266"/>
      <c r="H29" s="266"/>
      <c r="I29" s="266"/>
      <c r="J29" s="264"/>
      <c r="K29" s="126"/>
      <c r="L29" s="721"/>
      <c r="M29" s="721"/>
      <c r="N29" s="721"/>
      <c r="O29" s="721"/>
      <c r="P29" s="721"/>
    </row>
    <row r="30" spans="1:16" ht="25.5" customHeight="1">
      <c r="A30" s="139">
        <v>1</v>
      </c>
      <c r="B30" s="139" t="str">
        <f>INDEX(Z7:Z8,A30)</f>
        <v>Polski</v>
      </c>
      <c r="C30" s="266"/>
      <c r="D30" s="266"/>
      <c r="E30" s="266"/>
      <c r="F30" s="266"/>
      <c r="G30" s="266"/>
      <c r="H30" s="266"/>
      <c r="I30" s="266"/>
      <c r="J30" s="264"/>
      <c r="K30" s="78"/>
      <c r="L30" s="78"/>
      <c r="M30" s="264"/>
      <c r="N30" s="264"/>
      <c r="O30" s="264"/>
      <c r="P30" s="264"/>
    </row>
    <row r="31" spans="1:16" ht="26.25" customHeight="1">
      <c r="A31" s="266"/>
      <c r="B31" s="266"/>
      <c r="C31" s="266"/>
      <c r="D31" s="266"/>
      <c r="E31" s="266"/>
      <c r="F31" s="266"/>
      <c r="G31" s="266"/>
      <c r="H31" s="266"/>
      <c r="I31" s="266"/>
      <c r="J31" s="264"/>
      <c r="K31" s="264"/>
      <c r="L31" s="264"/>
      <c r="M31" s="264"/>
      <c r="N31" s="264"/>
      <c r="O31" s="264"/>
      <c r="P31" s="264"/>
    </row>
    <row r="32" spans="1:16">
      <c r="A32" s="266"/>
      <c r="B32" s="266"/>
      <c r="C32" s="266"/>
      <c r="D32" s="266"/>
      <c r="E32" s="266"/>
      <c r="F32" s="266"/>
      <c r="G32" s="266"/>
      <c r="H32" s="266"/>
      <c r="I32" s="266"/>
      <c r="J32" s="264"/>
      <c r="K32" s="264"/>
      <c r="L32" s="264"/>
      <c r="M32" s="264"/>
      <c r="N32" s="264"/>
      <c r="O32" s="264"/>
      <c r="P32" s="264"/>
    </row>
  </sheetData>
  <mergeCells count="32">
    <mergeCell ref="L26:P26"/>
    <mergeCell ref="L27:P27"/>
    <mergeCell ref="L28:P28"/>
    <mergeCell ref="L29:P29"/>
    <mergeCell ref="B19:B25"/>
    <mergeCell ref="L19:P19"/>
    <mergeCell ref="L20:P20"/>
    <mergeCell ref="L21:P21"/>
    <mergeCell ref="L22:P22"/>
    <mergeCell ref="L23:P23"/>
    <mergeCell ref="L24:P24"/>
    <mergeCell ref="L25:P25"/>
    <mergeCell ref="B17:H17"/>
    <mergeCell ref="L17:P17"/>
    <mergeCell ref="C8:D8"/>
    <mergeCell ref="L8:P8"/>
    <mergeCell ref="C9:D9"/>
    <mergeCell ref="L9:P9"/>
    <mergeCell ref="B11:H11"/>
    <mergeCell ref="L11:P11"/>
    <mergeCell ref="B12:H12"/>
    <mergeCell ref="L12:P12"/>
    <mergeCell ref="F15:F16"/>
    <mergeCell ref="L15:P15"/>
    <mergeCell ref="L16:P16"/>
    <mergeCell ref="E1:H3"/>
    <mergeCell ref="K1:P3"/>
    <mergeCell ref="F7:F8"/>
    <mergeCell ref="G7:G8"/>
    <mergeCell ref="H7:H8"/>
    <mergeCell ref="I7:I8"/>
    <mergeCell ref="K7:P7"/>
  </mergeCells>
  <pageMargins left="0.7" right="0.7" top="0.75" bottom="0.75" header="0.3" footer="0.3"/>
  <pageSetup paperSize="256" scale="6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19050</xdr:colOff>
                    <xdr:row>7</xdr:row>
                    <xdr:rowOff>9525</xdr:rowOff>
                  </from>
                  <to>
                    <xdr:col>4</xdr:col>
                    <xdr:colOff>19050</xdr:colOff>
                    <xdr:row>7</xdr:row>
                    <xdr:rowOff>295275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1">
    <tabColor rgb="FFFF0000"/>
  </sheetPr>
  <dimension ref="A1:AY393"/>
  <sheetViews>
    <sheetView zoomScaleNormal="100" workbookViewId="0"/>
  </sheetViews>
  <sheetFormatPr defaultRowHeight="15"/>
  <cols>
    <col min="3" max="3" width="30.85546875" customWidth="1"/>
    <col min="6" max="6" width="15.5703125" customWidth="1"/>
    <col min="7" max="7" width="9.140625" customWidth="1"/>
    <col min="8" max="8" width="4.85546875" customWidth="1"/>
    <col min="9" max="9" width="4" hidden="1" customWidth="1"/>
    <col min="13" max="13" width="37.42578125" customWidth="1"/>
    <col min="16" max="16" width="18.85546875" customWidth="1"/>
    <col min="17" max="51" width="9.140625" style="13" customWidth="1"/>
  </cols>
  <sheetData>
    <row r="1" spans="1:18" s="13" customFormat="1">
      <c r="A1" s="267"/>
      <c r="B1" s="267"/>
      <c r="C1" s="267"/>
      <c r="D1" s="267"/>
      <c r="E1" s="267"/>
      <c r="F1" s="267"/>
      <c r="G1" s="267"/>
      <c r="H1" s="267"/>
      <c r="I1" s="267"/>
      <c r="J1" s="267"/>
      <c r="K1" s="267"/>
      <c r="L1" s="267"/>
      <c r="M1" s="267"/>
      <c r="N1" s="267"/>
      <c r="O1" s="267"/>
      <c r="P1" s="267"/>
      <c r="Q1" s="267"/>
      <c r="R1" s="267"/>
    </row>
    <row r="2" spans="1:18" ht="15" customHeight="1">
      <c r="A2" s="12"/>
      <c r="B2" s="12"/>
      <c r="C2" s="12"/>
      <c r="D2" s="12"/>
      <c r="E2" s="12"/>
      <c r="F2" s="12"/>
      <c r="G2" s="12"/>
      <c r="H2" s="12"/>
      <c r="I2" s="12"/>
      <c r="J2" s="1144"/>
      <c r="K2" s="1144"/>
      <c r="L2" s="1144"/>
      <c r="M2" s="1144"/>
      <c r="N2" s="86"/>
      <c r="O2" s="86"/>
      <c r="P2" s="86"/>
      <c r="Q2" s="86"/>
      <c r="R2" s="86"/>
    </row>
    <row r="3" spans="1:18" ht="15" customHeight="1">
      <c r="A3" s="12"/>
      <c r="B3" s="12"/>
      <c r="C3" s="12"/>
      <c r="D3" s="12"/>
      <c r="E3" s="12"/>
      <c r="F3" s="12"/>
      <c r="G3" s="12"/>
      <c r="H3" s="12"/>
      <c r="I3" s="12"/>
      <c r="J3" s="1144"/>
      <c r="K3" s="1144"/>
      <c r="L3" s="1144"/>
      <c r="M3" s="1144"/>
      <c r="N3" s="86"/>
      <c r="O3" s="86"/>
      <c r="P3" s="86"/>
      <c r="Q3" s="86"/>
      <c r="R3" s="86"/>
    </row>
    <row r="4" spans="1:18">
      <c r="A4" s="12"/>
      <c r="B4" s="12"/>
      <c r="C4" s="12"/>
      <c r="D4" s="12"/>
      <c r="E4" s="12"/>
      <c r="F4" s="12"/>
      <c r="G4" s="12"/>
      <c r="H4" s="12"/>
      <c r="I4" s="12"/>
      <c r="J4" s="1144"/>
      <c r="K4" s="1144"/>
      <c r="L4" s="1144"/>
      <c r="M4" s="1144"/>
      <c r="N4" s="86"/>
      <c r="O4" s="86"/>
      <c r="P4" s="86"/>
      <c r="Q4" s="86"/>
      <c r="R4" s="86"/>
    </row>
    <row r="5" spans="1:18">
      <c r="A5" s="12"/>
      <c r="B5" s="12"/>
      <c r="C5" s="12"/>
      <c r="D5" s="12"/>
      <c r="E5" s="12"/>
      <c r="F5" s="12"/>
      <c r="G5" s="12"/>
      <c r="H5" s="12"/>
      <c r="I5" s="12"/>
      <c r="J5" s="86"/>
      <c r="K5" s="86"/>
      <c r="L5" s="86"/>
      <c r="M5" s="86"/>
      <c r="N5" s="86"/>
      <c r="O5" s="86"/>
      <c r="P5" s="86"/>
      <c r="Q5" s="86"/>
      <c r="R5" s="86"/>
    </row>
    <row r="6" spans="1:18">
      <c r="A6" s="12"/>
      <c r="B6" s="12"/>
      <c r="C6" s="12"/>
      <c r="D6" s="12"/>
      <c r="E6" s="12"/>
      <c r="F6" s="12"/>
      <c r="G6" s="12"/>
      <c r="H6" s="12"/>
      <c r="I6" s="12"/>
      <c r="J6" s="12"/>
      <c r="K6" s="12"/>
      <c r="L6" s="12"/>
      <c r="M6" s="12"/>
      <c r="N6" s="12"/>
      <c r="O6" s="12"/>
      <c r="P6" s="12"/>
      <c r="Q6" s="267"/>
      <c r="R6" s="267"/>
    </row>
    <row r="7" spans="1:18">
      <c r="A7" s="12"/>
      <c r="B7" s="12"/>
      <c r="C7" s="12"/>
      <c r="D7" s="12"/>
      <c r="E7" s="12"/>
      <c r="F7" s="12"/>
      <c r="G7" s="12"/>
      <c r="H7" s="12"/>
      <c r="I7" s="12"/>
      <c r="J7" s="12"/>
      <c r="K7" s="12"/>
      <c r="L7" s="12"/>
      <c r="M7" s="12"/>
      <c r="N7" s="12"/>
      <c r="O7" s="12"/>
      <c r="P7" s="12"/>
      <c r="Q7" s="267"/>
      <c r="R7" s="267"/>
    </row>
    <row r="8" spans="1:18">
      <c r="A8" s="12"/>
      <c r="B8" s="12"/>
      <c r="C8" s="12"/>
      <c r="D8" s="1141" t="str">
        <f>IF('Język - Language'!$B$30="Polski","Regulamin sprzedaży reklamy","General rules of advertisement sales")</f>
        <v>Regulamin sprzedaży reklamy</v>
      </c>
      <c r="E8" s="1141"/>
      <c r="F8" s="1141"/>
      <c r="G8" s="1142" t="s">
        <v>71</v>
      </c>
      <c r="H8" s="1143"/>
      <c r="I8" s="1143"/>
      <c r="J8" s="1143"/>
      <c r="K8" s="1143"/>
      <c r="L8" s="1143"/>
      <c r="M8" s="1143"/>
      <c r="N8" s="1143"/>
      <c r="O8" s="1143"/>
      <c r="P8" s="1143"/>
      <c r="Q8" s="267"/>
      <c r="R8" s="267"/>
    </row>
    <row r="9" spans="1:18">
      <c r="A9" s="12"/>
      <c r="B9" s="12"/>
      <c r="C9" s="12"/>
      <c r="D9" s="30"/>
      <c r="E9" s="30"/>
      <c r="F9" s="30"/>
      <c r="G9" s="31"/>
      <c r="H9" s="31"/>
      <c r="I9" s="31"/>
      <c r="J9" s="31"/>
      <c r="K9" s="31"/>
      <c r="L9" s="31"/>
      <c r="M9" s="31"/>
      <c r="N9" s="31"/>
      <c r="O9" s="31"/>
      <c r="P9" s="31"/>
      <c r="Q9" s="267"/>
      <c r="R9" s="267"/>
    </row>
    <row r="10" spans="1:18" ht="57" customHeight="1">
      <c r="A10" s="12"/>
      <c r="B10" s="12"/>
      <c r="C10" s="12"/>
      <c r="D10" s="1147" t="str">
        <f>IF('Język - Language'!$B$30="Polski","Specyfikacja techniczna do pobrania na serwisie Reklama.wp.pl","You can download our technical specification from reklama.wp.pl")</f>
        <v>Specyfikacja techniczna do pobrania na serwisie Reklama.wp.pl</v>
      </c>
      <c r="E10" s="1147"/>
      <c r="F10" s="1147"/>
      <c r="G10" s="1142" t="s">
        <v>71</v>
      </c>
      <c r="H10" s="1143"/>
      <c r="I10" s="1143"/>
      <c r="J10" s="1143"/>
      <c r="K10" s="1143"/>
      <c r="L10" s="1143"/>
      <c r="M10" s="1143"/>
      <c r="N10" s="1143"/>
      <c r="O10" s="1143"/>
      <c r="P10" s="31"/>
      <c r="Q10" s="267"/>
      <c r="R10" s="267"/>
    </row>
    <row r="11" spans="1:18" s="13" customFormat="1" ht="47.25" customHeight="1">
      <c r="A11" s="267"/>
      <c r="B11" s="267"/>
      <c r="C11" s="267"/>
      <c r="D11" s="267"/>
      <c r="E11" s="267"/>
      <c r="F11" s="267"/>
      <c r="G11" s="267"/>
      <c r="H11" s="267"/>
      <c r="I11" s="267"/>
      <c r="J11" s="267"/>
      <c r="K11" s="267"/>
      <c r="L11" s="267"/>
      <c r="M11" s="267"/>
      <c r="N11" s="267"/>
      <c r="O11" s="267"/>
      <c r="P11" s="267"/>
      <c r="Q11" s="267"/>
      <c r="R11" s="267"/>
    </row>
    <row r="12" spans="1:18" s="13" customFormat="1">
      <c r="A12" s="267"/>
      <c r="B12" s="267"/>
      <c r="C12" s="267"/>
      <c r="D12" s="324"/>
      <c r="E12" s="324"/>
      <c r="F12" s="324"/>
      <c r="G12" s="1148"/>
      <c r="H12" s="1148"/>
      <c r="I12" s="1148"/>
      <c r="J12" s="1148"/>
      <c r="K12" s="1148"/>
      <c r="L12" s="1148"/>
      <c r="M12" s="1148"/>
      <c r="N12" s="1148"/>
      <c r="O12" s="1148"/>
      <c r="P12" s="267"/>
      <c r="Q12" s="267"/>
      <c r="R12" s="267"/>
    </row>
    <row r="13" spans="1:18" s="13" customFormat="1">
      <c r="A13" s="267"/>
      <c r="B13" s="267"/>
      <c r="C13" s="267"/>
      <c r="D13" s="14"/>
      <c r="E13" s="14"/>
      <c r="F13" s="14"/>
      <c r="G13" s="267"/>
      <c r="H13" s="267"/>
      <c r="I13" s="267"/>
      <c r="J13" s="267"/>
      <c r="K13" s="267"/>
      <c r="L13" s="267"/>
      <c r="M13" s="267"/>
      <c r="N13" s="267"/>
      <c r="O13" s="267"/>
      <c r="P13" s="267"/>
      <c r="Q13" s="267"/>
      <c r="R13" s="267"/>
    </row>
    <row r="14" spans="1:18" s="13" customFormat="1">
      <c r="A14" s="267"/>
      <c r="B14" s="267"/>
      <c r="C14" s="267"/>
      <c r="D14" s="1149"/>
      <c r="E14" s="1149"/>
      <c r="F14" s="1149"/>
      <c r="G14" s="1148"/>
      <c r="H14" s="1148"/>
      <c r="I14" s="1148"/>
      <c r="J14" s="1148"/>
      <c r="K14" s="1148"/>
      <c r="L14" s="1148"/>
      <c r="M14" s="1148"/>
      <c r="N14" s="1148"/>
      <c r="O14" s="1148"/>
      <c r="P14" s="267"/>
      <c r="Q14" s="267"/>
      <c r="R14" s="267"/>
    </row>
    <row r="15" spans="1:18" s="13" customFormat="1">
      <c r="A15" s="267"/>
      <c r="B15" s="267"/>
      <c r="C15" s="267"/>
      <c r="D15" s="267"/>
      <c r="E15"/>
      <c r="F15" s="267"/>
      <c r="G15" s="1145"/>
      <c r="H15" s="1146"/>
      <c r="I15" s="1146"/>
      <c r="J15" s="1146"/>
      <c r="K15" s="1146"/>
      <c r="L15" s="1146"/>
      <c r="M15" s="1146"/>
      <c r="N15" s="1146"/>
      <c r="O15" s="1146"/>
      <c r="P15" s="267"/>
      <c r="Q15" s="267"/>
      <c r="R15" s="267"/>
    </row>
    <row r="16" spans="1:18" s="13" customFormat="1">
      <c r="A16" s="267"/>
      <c r="B16" s="267"/>
      <c r="C16" s="267"/>
      <c r="D16" s="267"/>
      <c r="E16" s="267"/>
      <c r="F16" s="267"/>
      <c r="G16" s="267"/>
      <c r="H16" s="267"/>
      <c r="I16" s="267"/>
      <c r="J16" s="267"/>
      <c r="K16" s="267"/>
      <c r="L16" s="267"/>
      <c r="M16" s="267"/>
      <c r="N16" s="267"/>
      <c r="O16" s="267"/>
      <c r="P16" s="267"/>
      <c r="Q16" s="267"/>
      <c r="R16" s="267"/>
    </row>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row r="228" s="13" customFormat="1"/>
    <row r="229" s="13" customFormat="1"/>
    <row r="230" s="13" customFormat="1"/>
    <row r="231" s="13" customFormat="1"/>
    <row r="232" s="13" customFormat="1"/>
    <row r="233" s="13" customFormat="1"/>
    <row r="234" s="13" customFormat="1"/>
    <row r="235" s="13" customFormat="1"/>
    <row r="236" s="13" customFormat="1"/>
    <row r="237" s="13" customFormat="1"/>
    <row r="238" s="13" customFormat="1"/>
    <row r="239" s="13" customFormat="1"/>
    <row r="240" s="13" customFormat="1"/>
    <row r="241" s="13" customFormat="1"/>
    <row r="242" s="13" customFormat="1"/>
    <row r="243" s="13" customFormat="1"/>
    <row r="244" s="13" customFormat="1"/>
    <row r="245" s="13" customFormat="1"/>
    <row r="246" s="13" customFormat="1"/>
    <row r="247" s="13" customFormat="1"/>
    <row r="248" s="13" customFormat="1"/>
    <row r="249" s="13" customFormat="1"/>
    <row r="250" s="13" customFormat="1"/>
    <row r="251" s="13" customFormat="1"/>
    <row r="252" s="13" customFormat="1"/>
    <row r="253" s="13" customFormat="1"/>
    <row r="254" s="13" customFormat="1"/>
    <row r="255" s="13" customFormat="1"/>
    <row r="256" s="13" customFormat="1"/>
    <row r="257" s="13" customFormat="1"/>
    <row r="258" s="13" customFormat="1"/>
    <row r="259" s="13" customFormat="1"/>
    <row r="260" s="13" customFormat="1"/>
    <row r="261" s="13" customFormat="1"/>
    <row r="262" s="13" customFormat="1"/>
    <row r="263" s="13" customFormat="1"/>
    <row r="264" s="13" customFormat="1"/>
    <row r="265" s="13" customFormat="1"/>
    <row r="266" s="13" customFormat="1"/>
    <row r="267" s="13" customFormat="1"/>
    <row r="268" s="13" customFormat="1"/>
    <row r="269" s="13" customFormat="1"/>
    <row r="270" s="13" customFormat="1"/>
    <row r="271" s="13" customFormat="1"/>
    <row r="272" s="13" customFormat="1"/>
    <row r="273" s="13" customFormat="1"/>
    <row r="274" s="13" customFormat="1"/>
    <row r="275" s="13" customFormat="1"/>
    <row r="276" s="13" customFormat="1"/>
    <row r="277" s="13" customFormat="1"/>
    <row r="278" s="13" customFormat="1"/>
    <row r="279" s="13" customFormat="1"/>
    <row r="280" s="13" customFormat="1"/>
    <row r="281" s="13" customFormat="1"/>
    <row r="282" s="13" customFormat="1"/>
    <row r="283" s="13" customFormat="1"/>
    <row r="284" s="13" customFormat="1"/>
    <row r="285" s="13" customFormat="1"/>
    <row r="286" s="13" customFormat="1"/>
    <row r="287" s="13" customFormat="1"/>
    <row r="288" s="13" customFormat="1"/>
    <row r="289" s="13" customFormat="1"/>
    <row r="290" s="13" customFormat="1"/>
    <row r="291" s="13" customFormat="1"/>
    <row r="292" s="13" customFormat="1"/>
    <row r="293" s="13" customFormat="1"/>
    <row r="294" s="13" customFormat="1"/>
    <row r="295" s="13" customFormat="1"/>
    <row r="296" s="13" customFormat="1"/>
    <row r="297" s="13" customFormat="1"/>
    <row r="298" s="13" customFormat="1"/>
    <row r="299" s="13" customFormat="1"/>
    <row r="300" s="13" customFormat="1"/>
    <row r="301" s="13" customFormat="1"/>
    <row r="302" s="13" customFormat="1"/>
    <row r="303" s="13" customFormat="1"/>
    <row r="304" s="13" customFormat="1"/>
    <row r="305" s="13" customFormat="1"/>
    <row r="306" s="13" customFormat="1"/>
    <row r="307" s="13" customFormat="1"/>
    <row r="308" s="13" customFormat="1"/>
    <row r="309" s="13" customFormat="1"/>
    <row r="310" s="13" customFormat="1"/>
    <row r="311" s="13" customFormat="1"/>
    <row r="312" s="13" customFormat="1"/>
    <row r="313" s="13" customFormat="1"/>
    <row r="314" s="13" customFormat="1"/>
    <row r="315" s="13" customFormat="1"/>
    <row r="316" s="13" customFormat="1"/>
    <row r="317" s="13" customFormat="1"/>
    <row r="318" s="13" customFormat="1"/>
    <row r="319" s="13" customFormat="1"/>
    <row r="320" s="13" customFormat="1"/>
    <row r="321" s="13" customFormat="1"/>
    <row r="322" s="13" customFormat="1"/>
    <row r="323" s="13" customFormat="1"/>
    <row r="324" s="13" customFormat="1"/>
    <row r="325" s="13" customFormat="1"/>
    <row r="326" s="13" customFormat="1"/>
    <row r="327" s="13" customFormat="1"/>
    <row r="328" s="13" customFormat="1"/>
    <row r="329" s="13" customFormat="1"/>
    <row r="330" s="13" customFormat="1"/>
    <row r="331" s="13" customFormat="1"/>
    <row r="332" s="13" customFormat="1"/>
    <row r="333" s="13" customFormat="1"/>
    <row r="334" s="13" customFormat="1"/>
    <row r="335" s="13" customFormat="1"/>
    <row r="336" s="13" customFormat="1"/>
    <row r="337" s="13" customFormat="1"/>
    <row r="338" s="13" customFormat="1"/>
    <row r="339" s="13" customFormat="1"/>
    <row r="340" s="13" customFormat="1"/>
    <row r="341" s="13" customFormat="1"/>
    <row r="342" s="13" customFormat="1"/>
    <row r="343" s="13" customFormat="1"/>
    <row r="344" s="13" customFormat="1"/>
    <row r="345" s="13" customFormat="1"/>
    <row r="346" s="13" customFormat="1"/>
    <row r="347" s="13" customFormat="1"/>
    <row r="348" s="13" customFormat="1"/>
    <row r="349" s="13" customFormat="1"/>
    <row r="350" s="13" customFormat="1"/>
    <row r="351" s="13" customFormat="1"/>
    <row r="352" s="13" customFormat="1"/>
    <row r="353" s="13" customFormat="1"/>
    <row r="354" s="13" customFormat="1"/>
    <row r="355" s="13" customFormat="1"/>
    <row r="356" s="13" customFormat="1"/>
    <row r="357" s="13" customFormat="1"/>
    <row r="358" s="13" customFormat="1"/>
    <row r="359" s="13" customFormat="1"/>
    <row r="360" s="13" customFormat="1"/>
    <row r="361" s="13" customFormat="1"/>
    <row r="362" s="13" customFormat="1"/>
    <row r="363" s="13" customFormat="1"/>
    <row r="364" s="13" customFormat="1"/>
    <row r="365" s="13" customFormat="1"/>
    <row r="366" s="13" customFormat="1"/>
    <row r="367" s="13" customFormat="1"/>
    <row r="368" s="13" customFormat="1"/>
    <row r="369" s="13" customFormat="1"/>
    <row r="370" s="13" customFormat="1"/>
    <row r="371" s="13" customFormat="1"/>
    <row r="372" s="13" customFormat="1"/>
    <row r="373" s="13" customFormat="1"/>
    <row r="374" s="13" customFormat="1"/>
    <row r="375" s="13" customFormat="1"/>
    <row r="376" s="13" customFormat="1"/>
    <row r="377" s="13" customFormat="1"/>
    <row r="378" s="13" customFormat="1"/>
    <row r="379" s="13" customFormat="1"/>
    <row r="380" s="13" customFormat="1"/>
    <row r="381" s="13" customFormat="1"/>
    <row r="382" s="13" customFormat="1"/>
    <row r="383" s="13" customFormat="1"/>
    <row r="384" s="13" customFormat="1"/>
    <row r="385" s="13" customFormat="1"/>
    <row r="386" s="13" customFormat="1"/>
    <row r="387" s="13" customFormat="1"/>
    <row r="388" s="13" customFormat="1"/>
    <row r="389" s="13" customFormat="1"/>
    <row r="390" s="13" customFormat="1"/>
    <row r="391" s="13" customFormat="1"/>
    <row r="392" s="13" customFormat="1"/>
    <row r="393" s="13" customFormat="1"/>
  </sheetData>
  <mergeCells count="9">
    <mergeCell ref="D8:F8"/>
    <mergeCell ref="G8:P8"/>
    <mergeCell ref="J2:M4"/>
    <mergeCell ref="G15:O15"/>
    <mergeCell ref="D10:F10"/>
    <mergeCell ref="G10:O10"/>
    <mergeCell ref="G12:O12"/>
    <mergeCell ref="D14:F14"/>
    <mergeCell ref="G14:O14"/>
  </mergeCells>
  <hyperlinks>
    <hyperlink ref="G10" r:id="rId1" xr:uid="{00000000-0004-0000-0900-000000000000}"/>
    <hyperlink ref="G8" r:id="rId2" xr:uid="{00000000-0004-0000-0900-000001000000}"/>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R112"/>
  <sheetViews>
    <sheetView tabSelected="1" zoomScaleNormal="100" workbookViewId="0">
      <pane ySplit="4" topLeftCell="A5" activePane="bottomLeft" state="frozen"/>
      <selection pane="bottomLeft" activeCell="A8" sqref="A8"/>
    </sheetView>
  </sheetViews>
  <sheetFormatPr defaultColWidth="28.85546875" defaultRowHeight="12.75"/>
  <cols>
    <col min="1" max="1" width="2.85546875" style="2" customWidth="1"/>
    <col min="2" max="2" width="4.85546875" style="2" customWidth="1"/>
    <col min="3" max="3" width="18.5703125" style="2" customWidth="1"/>
    <col min="4" max="4" width="18.5703125" style="227" customWidth="1"/>
    <col min="5" max="5" width="18.5703125" style="121" customWidth="1"/>
    <col min="6" max="6" width="18.5703125" style="2" customWidth="1"/>
    <col min="7" max="7" width="18.5703125" style="227" customWidth="1"/>
    <col min="8" max="8" width="18.5703125" style="121" customWidth="1"/>
    <col min="9" max="10" width="18.5703125" style="2" customWidth="1"/>
    <col min="11" max="12" width="16.42578125" style="2" customWidth="1"/>
    <col min="13" max="13" width="14.5703125" style="2" customWidth="1"/>
    <col min="14" max="16384" width="28.85546875" style="2"/>
  </cols>
  <sheetData>
    <row r="1" spans="1:13" ht="12.75" customHeight="1">
      <c r="A1"/>
      <c r="B1" s="266"/>
      <c r="C1" s="266"/>
      <c r="D1" s="266"/>
      <c r="E1" s="266"/>
      <c r="F1" s="266"/>
      <c r="G1" s="708"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H1" s="708"/>
      <c r="I1" s="708"/>
      <c r="J1" s="708"/>
      <c r="K1" s="268"/>
      <c r="L1" s="266"/>
      <c r="M1" s="266"/>
    </row>
    <row r="2" spans="1:13" ht="12.75" customHeight="1">
      <c r="A2" s="266"/>
      <c r="B2" s="266"/>
      <c r="C2" s="268"/>
      <c r="D2" s="268"/>
      <c r="E2" s="268"/>
      <c r="F2" s="268"/>
      <c r="G2" s="708"/>
      <c r="H2" s="708"/>
      <c r="I2" s="708"/>
      <c r="J2" s="708"/>
      <c r="K2" s="268"/>
      <c r="L2" s="266"/>
      <c r="M2" s="266"/>
    </row>
    <row r="3" spans="1:13" ht="12.75" customHeight="1">
      <c r="A3" s="266"/>
      <c r="B3" s="266"/>
      <c r="C3" s="268"/>
      <c r="D3" s="268"/>
      <c r="E3" s="268"/>
      <c r="F3" s="268"/>
      <c r="G3" s="708"/>
      <c r="H3" s="708"/>
      <c r="I3" s="708"/>
      <c r="J3" s="708"/>
      <c r="K3" s="268"/>
      <c r="L3" s="266"/>
      <c r="M3" s="266"/>
    </row>
    <row r="4" spans="1:13" s="34" customFormat="1" ht="12.75" customHeight="1">
      <c r="A4" s="269"/>
      <c r="B4" s="35"/>
      <c r="C4" s="35" t="str">
        <f>IF('Język - Language'!$B$30="Polski","         Reklama na wielu ekranach","         Multiscreen. Cross-Device")</f>
        <v xml:space="preserve">         Reklama na wielu ekranach</v>
      </c>
      <c r="D4" s="35"/>
      <c r="E4" s="35"/>
      <c r="F4" s="269"/>
      <c r="G4" s="269"/>
      <c r="H4" s="269"/>
      <c r="I4" s="269"/>
      <c r="J4" s="263" t="str">
        <f>IF('Język - Language'!$B$30="Polski","PL","EN")</f>
        <v>PL</v>
      </c>
      <c r="K4" s="269"/>
      <c r="L4" s="269"/>
      <c r="M4" s="269"/>
    </row>
    <row r="5" spans="1:13" ht="12.75" customHeight="1">
      <c r="A5" s="266"/>
      <c r="B5" s="266"/>
      <c r="C5" s="266"/>
      <c r="D5" s="266"/>
      <c r="E5" s="266"/>
      <c r="F5" s="266"/>
      <c r="G5" s="266"/>
      <c r="H5" s="266"/>
      <c r="I5" s="266"/>
      <c r="J5" s="266"/>
      <c r="K5" s="266"/>
      <c r="L5" s="266"/>
      <c r="M5" s="266"/>
    </row>
    <row r="6" spans="1:13" s="54" customFormat="1" ht="12.75" customHeight="1">
      <c r="A6" s="266"/>
      <c r="B6" s="266"/>
      <c r="C6" s="266"/>
      <c r="D6" s="266"/>
      <c r="E6" s="266"/>
      <c r="F6" s="266"/>
      <c r="G6" s="266"/>
      <c r="H6" s="266"/>
      <c r="I6" s="266"/>
      <c r="J6" s="266"/>
      <c r="K6" s="266"/>
      <c r="L6" s="266"/>
      <c r="M6" s="266"/>
    </row>
    <row r="7" spans="1:13" s="53" customFormat="1" ht="12.75" customHeight="1">
      <c r="A7" s="264"/>
      <c r="B7" s="264"/>
      <c r="C7" s="820" t="str">
        <f>IF('Język - Language'!$B$30="Polski","        WP STRONA GŁÓWNA (DESKTOP/TABLET)","        WP HOME PAGE (DESKTOP/TABLET)")</f>
        <v xml:space="preserve">        WP STRONA GŁÓWNA (DESKTOP/TABLET)</v>
      </c>
      <c r="D7" s="820"/>
      <c r="E7" s="820"/>
      <c r="F7" s="820" t="str">
        <f>IF('Język - Language'!$B$30="Polski","WP STRONA GŁÓWNA (MOBILE¹)","WP HOME PAGE (MOBILE¹)")</f>
        <v>WP STRONA GŁÓWNA (MOBILE¹)</v>
      </c>
      <c r="G7" s="820"/>
      <c r="H7" s="820"/>
      <c r="I7" s="820" t="str">
        <f>IF('Język - Language'!$B$30="Polski","CENA RC","PRICE")</f>
        <v>CENA RC</v>
      </c>
      <c r="J7" s="825"/>
      <c r="K7" s="266"/>
      <c r="L7" s="266"/>
      <c r="M7" s="266"/>
    </row>
    <row r="8" spans="1:13" s="53" customFormat="1" ht="12.75" customHeight="1">
      <c r="A8"/>
      <c r="B8" s="264"/>
      <c r="C8" s="821"/>
      <c r="D8" s="821"/>
      <c r="E8" s="821"/>
      <c r="F8" s="821"/>
      <c r="G8" s="821"/>
      <c r="H8" s="821"/>
      <c r="I8" s="298" t="str">
        <f>IF('Język - Language'!$B$30="Polski","styczeń-wrzesień","Jan-Sep")</f>
        <v>styczeń-wrzesień</v>
      </c>
      <c r="J8" s="229" t="str">
        <f>IF('Język - Language'!$B$30="Polski","październik-grudzień","Oct-Dec")</f>
        <v>październik-grudzień</v>
      </c>
      <c r="K8" s="264"/>
      <c r="L8" s="264"/>
      <c r="M8" s="264"/>
    </row>
    <row r="9" spans="1:13" s="266" customFormat="1" ht="25.5" customHeight="1">
      <c r="B9" s="33"/>
      <c r="C9" s="829" t="str">
        <f>IF('Język - Language'!$B$30="Polski","Commercial Break 1/uu na godzinę","Commercial Break 1/uu per hour")</f>
        <v>Commercial Break 1/uu na godzinę</v>
      </c>
      <c r="D9" s="830"/>
      <c r="E9" s="831"/>
      <c r="F9" s="826" t="str">
        <f>IF('Język - Language'!$B$30="Polski","Commercial Break 1/uu na godzinę","Commercial Break 1/uu per hour")</f>
        <v>Commercial Break 1/uu na godzinę</v>
      </c>
      <c r="G9" s="827"/>
      <c r="H9" s="828"/>
      <c r="I9" s="329">
        <v>380000</v>
      </c>
      <c r="J9" s="328">
        <v>450000</v>
      </c>
      <c r="K9" s="264"/>
      <c r="L9" s="264"/>
      <c r="M9" s="264"/>
    </row>
    <row r="10" spans="1:13" s="53" customFormat="1" ht="25.5" customHeight="1">
      <c r="A10" s="266"/>
      <c r="B10" s="832" t="str">
        <f>IF('Język - Language'!$B$30="Polski","Górny slot (pierwsza dniówka: 3 pierwsze odsłony)","Upper slot 3/uu")</f>
        <v>Górny slot (pierwsza dniówka: 3 pierwsze odsłony)</v>
      </c>
      <c r="C10" s="725" t="str">
        <f>IF('Język - Language'!$B$30="Polski","Double Billboard lub Wideboard 3/uu","Double Billboard or Wideboard 3/uu")</f>
        <v>Double Billboard lub Wideboard 3/uu</v>
      </c>
      <c r="D10" s="732"/>
      <c r="E10" s="726"/>
      <c r="F10" s="826" t="str">
        <f>IF('Język - Language'!$B$30="Polski","Banner skalowalny 3/uu","Adjusted Banner 3/uu")</f>
        <v>Banner skalowalny 3/uu</v>
      </c>
      <c r="G10" s="827"/>
      <c r="H10" s="828"/>
      <c r="I10" s="300">
        <v>570000</v>
      </c>
      <c r="J10" s="166">
        <v>680000</v>
      </c>
      <c r="K10" s="264"/>
      <c r="L10" s="264"/>
      <c r="M10" s="264"/>
    </row>
    <row r="11" spans="1:13" s="107" customFormat="1" ht="25.5" customHeight="1">
      <c r="A11" s="266"/>
      <c r="B11" s="832"/>
      <c r="C11" s="725" t="str">
        <f>IF('Język - Language'!$B$30="Polski","Gigaboard 1/uu + Mega Double Billboard 2/uu","Gigaboard 1/uu + Mega Double Billboard 2/uu")</f>
        <v>Gigaboard 1/uu + Mega Double Billboard 2/uu</v>
      </c>
      <c r="D11" s="732"/>
      <c r="E11" s="726"/>
      <c r="F11" s="826" t="str">
        <f>IF('Język - Language'!$B$30="Polski","Banner skalowalny XL 1/uu + Banner skalowalny 2/uu","Adjusted Banner XL 1/uu + Adjusted Banner 2/uu")</f>
        <v>Banner skalowalny XL 1/uu + Banner skalowalny 2/uu</v>
      </c>
      <c r="G11" s="827"/>
      <c r="H11" s="828"/>
      <c r="I11" s="300">
        <v>770000</v>
      </c>
      <c r="J11" s="166">
        <v>925000</v>
      </c>
      <c r="K11" s="264"/>
      <c r="L11" s="264"/>
      <c r="M11" s="264"/>
    </row>
    <row r="12" spans="1:13" s="89" customFormat="1" ht="25.5" customHeight="1">
      <c r="A12" s="266"/>
      <c r="B12" s="832"/>
      <c r="C12" s="725" t="str">
        <f>IF('Język - Language'!$B$30="Polski","Screening 1/uu + DBB lub Wideboard 2/uu (tablet: tylko górny format)","Screening 1/uu + DBB or Wideboard 2/uu (tablet:only upper banner)")</f>
        <v>Screening 1/uu + DBB lub Wideboard 2/uu (tablet: tylko górny format)</v>
      </c>
      <c r="D12" s="732"/>
      <c r="E12" s="726"/>
      <c r="F12" s="826" t="str">
        <f>IF('Język - Language'!$B$30="Polski","Banner skalowalny XL 1/uu + Banner skalowalny 2/uu","Adjusted Banner XL 1/uu + Adjusted Banner 2/uu")</f>
        <v>Banner skalowalny XL 1/uu + Banner skalowalny 2/uu</v>
      </c>
      <c r="G12" s="827"/>
      <c r="H12" s="828"/>
      <c r="I12" s="300">
        <v>630000</v>
      </c>
      <c r="J12" s="166">
        <v>750000</v>
      </c>
      <c r="K12" s="264"/>
      <c r="L12" s="264"/>
      <c r="M12" s="264"/>
    </row>
    <row r="13" spans="1:13" s="89" customFormat="1" ht="25.5" customHeight="1">
      <c r="A13" s="266"/>
      <c r="B13" s="832"/>
      <c r="C13" s="725" t="str">
        <f>IF('Język - Language'!$B$30="Polski","Screening 1/uu + DBB lub Wideboard 2/uu (tablet: tylko górny format)","Screening 1/uu + DBB lub Wideboard 2/uu (tablet:only upper banner)")</f>
        <v>Screening 1/uu + DBB lub Wideboard 2/uu (tablet: tylko górny format)</v>
      </c>
      <c r="D13" s="732"/>
      <c r="E13" s="726"/>
      <c r="F13" s="840" t="str">
        <f>IF('Język - Language'!$B$30="Polski","Banner skalowalny XL 3/uu","Adjusted Banner XL 3/uu")</f>
        <v>Banner skalowalny XL 3/uu</v>
      </c>
      <c r="G13" s="841"/>
      <c r="H13" s="842"/>
      <c r="I13" s="707">
        <v>700000</v>
      </c>
      <c r="J13" s="706">
        <v>840000</v>
      </c>
      <c r="K13" s="264"/>
      <c r="L13" s="264"/>
      <c r="M13" s="264"/>
    </row>
    <row r="14" spans="1:13" s="53" customFormat="1" ht="25.5" customHeight="1">
      <c r="A14" s="266"/>
      <c r="B14" s="832"/>
      <c r="C14" s="834" t="str">
        <f>IF('Język - Language'!$B$30="Polski","VideoBackLayer 1/uu + DBB lub Wideboard 2/uu","VideoBackLayer 1/uu + DBB lub Wideboard 2/uu")</f>
        <v>VideoBackLayer 1/uu + DBB lub Wideboard 2/uu</v>
      </c>
      <c r="D14" s="835"/>
      <c r="E14" s="836"/>
      <c r="F14" s="840" t="str">
        <f>IF('Język - Language'!$B$30="Polski","Banner skalowalny XL 3/uu","Adjusted Banner XL 3/uu")</f>
        <v>Banner skalowalny XL 3/uu</v>
      </c>
      <c r="G14" s="841"/>
      <c r="H14" s="842"/>
      <c r="I14" s="707">
        <v>700000</v>
      </c>
      <c r="J14" s="706">
        <v>840000</v>
      </c>
      <c r="K14" s="264"/>
      <c r="L14" s="264"/>
      <c r="M14" s="264"/>
    </row>
    <row r="15" spans="1:13" s="118" customFormat="1" ht="25.5" customHeight="1">
      <c r="A15" s="266"/>
      <c r="B15" s="832"/>
      <c r="C15" s="725" t="str">
        <f>IF('Język - Language'!$B$30="Polski","Welcome Screen 1/uu + DBB lub Wideboard 2/uu","Welcome Screen 1/uu + DBB lub Wideboard 2/uu")</f>
        <v>Welcome Screen 1/uu + DBB lub Wideboard 2/uu</v>
      </c>
      <c r="D15" s="732"/>
      <c r="E15" s="726"/>
      <c r="F15" s="826" t="str">
        <f>IF('Język - Language'!$B$30="Polski","Banner skalowalny XL 1/uu + Banner skalowalny 2/uu","Adjusted Banner XL 1/uu + Adjusted Banner 2/uu")</f>
        <v>Banner skalowalny XL 1/uu + Banner skalowalny 2/uu</v>
      </c>
      <c r="G15" s="827"/>
      <c r="H15" s="828"/>
      <c r="I15" s="300">
        <v>700000</v>
      </c>
      <c r="J15" s="166">
        <v>840000</v>
      </c>
      <c r="K15" s="264"/>
      <c r="L15" s="264"/>
      <c r="M15" s="264"/>
    </row>
    <row r="16" spans="1:13" s="89" customFormat="1" ht="25.5" customHeight="1">
      <c r="A16" s="266"/>
      <c r="B16" s="832"/>
      <c r="C16" s="725" t="str">
        <f>IF('Język - Language'!$B$30="Polski","Welcome Screen XL 1/uu + DBB lub Wideboard 2/uu","Welcome Screen XL 1/uu + DBB lub Wideboard 2/uu")</f>
        <v>Welcome Screen XL 1/uu + DBB lub Wideboard 2/uu</v>
      </c>
      <c r="D16" s="732"/>
      <c r="E16" s="726"/>
      <c r="F16" s="725" t="str">
        <f>IF('Język - Language'!$B$30="Polski","Banner skalowalny XL 1/uu + Banner skalowalny 2/uu","Adjusted Banner XL 1/uu + Adjusted Banner 2/uu")</f>
        <v>Banner skalowalny XL 1/uu + Banner skalowalny 2/uu</v>
      </c>
      <c r="G16" s="732"/>
      <c r="H16" s="726"/>
      <c r="I16" s="300">
        <v>770000</v>
      </c>
      <c r="J16" s="166">
        <v>930000</v>
      </c>
      <c r="K16" s="264"/>
      <c r="L16" s="264"/>
      <c r="M16" s="264"/>
    </row>
    <row r="17" spans="2:13" s="111" customFormat="1" ht="25.5" customHeight="1">
      <c r="B17" s="833"/>
      <c r="C17" s="794"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17" s="795"/>
      <c r="E17" s="795"/>
      <c r="F17" s="795"/>
      <c r="G17" s="795"/>
      <c r="H17" s="795"/>
      <c r="I17" s="795"/>
      <c r="J17" s="796"/>
      <c r="K17" s="264"/>
      <c r="L17" s="264"/>
      <c r="M17" s="264"/>
    </row>
    <row r="18" spans="2:13" s="107" customFormat="1" ht="25.5" customHeight="1">
      <c r="B18" s="837" t="str">
        <f>IF('Język - Language'!$B$30="Polski","Druga dniówka (od 4. odsłony)","Upper slot (FF after 3rd page view)")</f>
        <v>Druga dniówka (od 4. odsłony)</v>
      </c>
      <c r="C18" s="725" t="str">
        <f>IF('Język - Language'!$B$30="Polski","Double Billboard lub Wideboard FF","Double Billboard or Wideboard FF")</f>
        <v>Double Billboard lub Wideboard FF</v>
      </c>
      <c r="D18" s="732"/>
      <c r="E18" s="726"/>
      <c r="F18" s="725" t="str">
        <f>IF('Język - Language'!$B$30="Polski","Banner skalowalny FF","Adjusted Banner FF")</f>
        <v>Banner skalowalny FF</v>
      </c>
      <c r="G18" s="732"/>
      <c r="H18" s="726"/>
      <c r="I18" s="300">
        <v>315000</v>
      </c>
      <c r="J18" s="166">
        <v>375000</v>
      </c>
      <c r="K18" s="264"/>
      <c r="L18" s="264"/>
      <c r="M18" s="264"/>
    </row>
    <row r="19" spans="2:13" s="107" customFormat="1" ht="25.5" customHeight="1">
      <c r="B19" s="838"/>
      <c r="C19" s="725" t="str">
        <f>IF('Język - Language'!$B$30="Polski","Gigaboard 1/uu + Mega Double Billboard FF","Gigaboard 1/uu + Mega Double Billboard FF")</f>
        <v>Gigaboard 1/uu + Mega Double Billboard FF</v>
      </c>
      <c r="D19" s="732"/>
      <c r="E19" s="726"/>
      <c r="F19" s="725" t="str">
        <f>IF('Język - Language'!$B$30="Polski","Banner skalowalny XL 1/uu + Banner skalowalny FF","Adjusted Banner XL 1/uu + Adjusted Banner FF")</f>
        <v>Banner skalowalny XL 1/uu + Banner skalowalny FF</v>
      </c>
      <c r="G19" s="732"/>
      <c r="H19" s="726"/>
      <c r="I19" s="300">
        <v>440000</v>
      </c>
      <c r="J19" s="166">
        <v>530000</v>
      </c>
      <c r="K19" s="264"/>
      <c r="L19" s="264"/>
      <c r="M19" s="264"/>
    </row>
    <row r="20" spans="2:13" s="89" customFormat="1" ht="25.5" customHeight="1">
      <c r="B20" s="838"/>
      <c r="C20" s="725" t="str">
        <f>IF('Język - Language'!$B$30="Polski","Welcome Screen 1/uu + DBB lub Wideboard FF","Welcome Screen 1/uu + DBB lub Wideboard FF")</f>
        <v>Welcome Screen 1/uu + DBB lub Wideboard FF</v>
      </c>
      <c r="D20" s="732"/>
      <c r="E20" s="726"/>
      <c r="F20" s="725" t="str">
        <f>IF('Język - Language'!$B$30="Polski","Banner skalowalny XL 1/uu + Banner skalowalny FF","Adjusted Banner XL 1/uu + Adjusted Banner FF")</f>
        <v>Banner skalowalny XL 1/uu + Banner skalowalny FF</v>
      </c>
      <c r="G20" s="732"/>
      <c r="H20" s="726"/>
      <c r="I20" s="300">
        <v>415000</v>
      </c>
      <c r="J20" s="166">
        <v>495000</v>
      </c>
      <c r="K20" s="264"/>
      <c r="L20" s="264"/>
      <c r="M20" s="264"/>
    </row>
    <row r="21" spans="2:13" s="53" customFormat="1" ht="25.5" customHeight="1">
      <c r="B21" s="839"/>
      <c r="C21" s="794" t="str">
        <f>IF('Język - Language'!$B$30="Polski",CONCATENATE("Dodatkowe warianty (np. Megaformat lub Video w kreacji) dla w/w formatów w zakładce ",CHAR(34),"Dopłaty i uwagi dodatkowe",CHAR(34),"."),"Further options (e.g. Mega Ad Format or Vdeo within any ad format) for the above mentioned formats")</f>
        <v>Dodatkowe warianty (np. Megaformat lub Video w kreacji) dla w/w formatów w zakładce "Dopłaty i uwagi dodatkowe".</v>
      </c>
      <c r="D21" s="795"/>
      <c r="E21" s="795"/>
      <c r="F21" s="795"/>
      <c r="G21" s="795"/>
      <c r="H21" s="795"/>
      <c r="I21" s="795"/>
      <c r="J21" s="796"/>
      <c r="K21" s="264"/>
      <c r="L21" s="264"/>
      <c r="M21" s="264"/>
    </row>
    <row r="22" spans="2:13" s="53" customFormat="1" ht="12.75" customHeight="1">
      <c r="B22" s="773" t="str">
        <f>IF('Język - Language'!$B$30="Polski","Boksy w modułach tematycznych","Boxes in thematic category")</f>
        <v>Boksy w modułach tematycznych</v>
      </c>
      <c r="C22" s="725" t="s">
        <v>150</v>
      </c>
      <c r="D22" s="732"/>
      <c r="E22" s="726"/>
      <c r="F22" s="806" t="s">
        <v>150</v>
      </c>
      <c r="G22" s="807"/>
      <c r="H22" s="808"/>
      <c r="I22" s="300">
        <v>230000</v>
      </c>
      <c r="J22" s="166">
        <v>275000</v>
      </c>
      <c r="K22" s="264"/>
      <c r="L22" s="264"/>
      <c r="M22" s="264"/>
    </row>
    <row r="23" spans="2:13" s="266" customFormat="1" ht="12.75" customHeight="1">
      <c r="B23" s="773"/>
      <c r="C23" s="725" t="s">
        <v>72</v>
      </c>
      <c r="D23" s="732"/>
      <c r="E23" s="726"/>
      <c r="F23" s="806" t="s">
        <v>72</v>
      </c>
      <c r="G23" s="807"/>
      <c r="H23" s="808"/>
      <c r="I23" s="391">
        <v>190000</v>
      </c>
      <c r="J23" s="392">
        <v>225000</v>
      </c>
      <c r="K23" s="264"/>
      <c r="L23" s="264"/>
      <c r="M23" s="264"/>
    </row>
    <row r="24" spans="2:13" s="266" customFormat="1" ht="12.75" customHeight="1">
      <c r="B24" s="773"/>
      <c r="C24" s="725" t="str">
        <f>IF('Język - Language'!$B$30="Polski","Content Box XL (nad modułem Sport) FF","Content Box XL (above the category Sport) FF")</f>
        <v>Content Box XL (nad modułem Sport) FF</v>
      </c>
      <c r="D24" s="732"/>
      <c r="E24" s="726"/>
      <c r="F24" s="806" t="str">
        <f>IF('Język - Language'!$B$30="Polski","Content Box XL (Rectangle/Banner skalowany XL) w module Sport FF","Content Box XL (Rectangle/Adjusted Banner XL) above the category Sport FF")</f>
        <v>Content Box XL (Rectangle/Banner skalowany XL) w module Sport FF</v>
      </c>
      <c r="G24" s="807"/>
      <c r="H24" s="808"/>
      <c r="I24" s="384">
        <v>420000</v>
      </c>
      <c r="J24" s="389">
        <v>480000</v>
      </c>
      <c r="K24" s="264"/>
      <c r="L24" s="264"/>
      <c r="M24" s="264"/>
    </row>
    <row r="25" spans="2:13" s="53" customFormat="1" ht="12.75" customHeight="1">
      <c r="B25" s="773"/>
      <c r="C25" s="725" t="str">
        <f>IF('Język - Language'!$B$30="Polski","Content Box nad modułem Biznes FF²","Content Box above the category Business FF²")</f>
        <v>Content Box nad modułem Biznes FF²</v>
      </c>
      <c r="D25" s="732"/>
      <c r="E25" s="726"/>
      <c r="F25" s="780" t="str">
        <f>IF('Język - Language'!$B$30="Polski","Content Box (Banner/Banner skalowany) w module Biznes FF","Content Box (Banner/adjusted banner) above the category Business FF")</f>
        <v>Content Box (Banner/Banner skalowany) w module Biznes FF</v>
      </c>
      <c r="G25" s="781"/>
      <c r="H25" s="782"/>
      <c r="I25" s="300">
        <v>200000</v>
      </c>
      <c r="J25" s="166">
        <v>240000</v>
      </c>
      <c r="K25" s="264"/>
      <c r="L25" s="264"/>
      <c r="M25" s="264"/>
    </row>
    <row r="26" spans="2:13" s="53" customFormat="1" ht="12.75" customHeight="1">
      <c r="B26" s="773"/>
      <c r="C26" s="725" t="str">
        <f>IF('Język - Language'!$B$30="Polski","Content Box nad modułem Gwiazdy FF²","Content Box above the category Stars FF²")</f>
        <v>Content Box nad modułem Gwiazdy FF²</v>
      </c>
      <c r="D26" s="732"/>
      <c r="E26" s="726"/>
      <c r="F26" s="780" t="str">
        <f>IF('Język - Language'!$B$30="Polski","Content Box (Banner/Banner skalowany) nad modułem Gwiazdy FF","Content Box (Banner/adjusted banner) above the category Stars FF")</f>
        <v>Content Box (Banner/Banner skalowany) nad modułem Gwiazdy FF</v>
      </c>
      <c r="G26" s="781"/>
      <c r="H26" s="782"/>
      <c r="I26" s="300">
        <v>170000</v>
      </c>
      <c r="J26" s="166">
        <v>200000</v>
      </c>
      <c r="K26" s="264"/>
      <c r="L26" s="264"/>
      <c r="M26" s="264"/>
    </row>
    <row r="27" spans="2:13" s="53" customFormat="1" ht="12.75" customHeight="1">
      <c r="B27" s="773"/>
      <c r="C27" s="725" t="str">
        <f>IF('Język - Language'!$B$30="Polski","Content Box nad modułem Moto&amp;Tech&amp;Gry FF²","Content Box above the category Moto&amp;Tech FF²")</f>
        <v>Content Box nad modułem Moto&amp;Tech&amp;Gry FF²</v>
      </c>
      <c r="D27" s="732"/>
      <c r="E27" s="726"/>
      <c r="F27" s="780" t="str">
        <f>IF('Język - Language'!$B$30="Polski","Content Box (Banner/Banner skalowany) nad modułem Moto&amp;Tech FF","Content Box (Banner/adjusted banner) above the category Moto&amp;Tech FF")</f>
        <v>Content Box (Banner/Banner skalowany) nad modułem Moto&amp;Tech FF</v>
      </c>
      <c r="G27" s="781"/>
      <c r="H27" s="782"/>
      <c r="I27" s="300">
        <v>145000</v>
      </c>
      <c r="J27" s="166">
        <v>170000</v>
      </c>
      <c r="K27" s="264"/>
      <c r="L27" s="264"/>
      <c r="M27" s="264"/>
    </row>
    <row r="28" spans="2:13" s="53" customFormat="1" ht="12.75" customHeight="1">
      <c r="B28" s="773"/>
      <c r="C28" s="727" t="str">
        <f>IF('Język - Language'!$B$30="Polski","Content Box nad modułem Styl Życia FF²","Content Box above the category Lifestyle FF²")</f>
        <v>Content Box nad modułem Styl Życia FF²</v>
      </c>
      <c r="D28" s="728"/>
      <c r="E28" s="731"/>
      <c r="F28" s="822" t="str">
        <f>IF('Język - Language'!$B$30="Polski","Content Box (Banner/Banner skalowany) nad modułem Styl Życia FF","Content Box (Banner/adjusted banner) above the category Lifestyle FF")</f>
        <v>Content Box (Banner/Banner skalowany) nad modułem Styl Życia FF</v>
      </c>
      <c r="G28" s="823"/>
      <c r="H28" s="824"/>
      <c r="I28" s="394">
        <v>145000</v>
      </c>
      <c r="J28" s="395">
        <v>170000</v>
      </c>
      <c r="K28" s="264"/>
      <c r="L28" s="264"/>
      <c r="M28" s="264"/>
    </row>
    <row r="29" spans="2:13" s="142" customFormat="1" ht="12.75" customHeight="1">
      <c r="B29" s="335"/>
      <c r="C29" s="146"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D29" s="146"/>
      <c r="E29" s="147"/>
      <c r="F29" s="148"/>
      <c r="G29" s="148"/>
      <c r="H29" s="148"/>
      <c r="I29" s="149"/>
      <c r="J29" s="334"/>
      <c r="K29" s="264"/>
      <c r="L29" s="264"/>
      <c r="M29" s="264"/>
    </row>
    <row r="30" spans="2:13" s="266" customFormat="1" ht="12.75" customHeight="1">
      <c r="B30" s="143"/>
      <c r="C30" s="150" t="str">
        <f>IF('Język - Language'!$B$30="Polski","² Content Box XL +50%","² Content Box XL +50%")</f>
        <v>² Content Box XL +50%</v>
      </c>
      <c r="D30" s="146"/>
      <c r="E30" s="147"/>
      <c r="F30" s="148"/>
      <c r="G30" s="148"/>
      <c r="H30" s="148"/>
      <c r="I30" s="149"/>
      <c r="J30" s="334"/>
      <c r="K30" s="264"/>
      <c r="L30" s="264"/>
      <c r="M30" s="264"/>
    </row>
    <row r="31" spans="2:13" s="266" customFormat="1" ht="12.75" customHeight="1">
      <c r="B31" s="677"/>
      <c r="C31" s="336" t="str">
        <f>IF('Język - Language'!$B$30="Polski","Dopłata za Retail Dniówkę +15%","+15% extra charge for special Retail Daily Emission")</f>
        <v>Dopłata za Retail Dniówkę +15%</v>
      </c>
      <c r="D31" s="146"/>
      <c r="E31" s="147"/>
      <c r="F31" s="148"/>
      <c r="G31" s="148"/>
      <c r="H31" s="148"/>
      <c r="I31" s="149"/>
      <c r="J31" s="334"/>
      <c r="K31" s="264"/>
      <c r="L31" s="264"/>
      <c r="M31" s="264"/>
    </row>
    <row r="32" spans="2:13" s="53" customFormat="1" ht="12.75" customHeight="1">
      <c r="B32" s="266"/>
      <c r="C32" s="266"/>
      <c r="D32" s="187"/>
      <c r="E32" s="678"/>
      <c r="F32" s="283"/>
      <c r="G32" s="283"/>
      <c r="H32" s="283"/>
      <c r="I32" s="283"/>
      <c r="J32" s="679"/>
      <c r="K32" s="266"/>
      <c r="L32" s="266"/>
      <c r="M32" s="266"/>
    </row>
    <row r="33" spans="2:13" s="89" customFormat="1" ht="12.75" customHeight="1">
      <c r="B33" s="266"/>
      <c r="C33" s="266"/>
      <c r="D33" s="266"/>
      <c r="E33" s="266"/>
      <c r="F33" s="266"/>
      <c r="G33" s="266"/>
      <c r="H33" s="266"/>
      <c r="I33" s="266"/>
      <c r="J33" s="266"/>
      <c r="K33" s="266"/>
      <c r="L33" s="266"/>
      <c r="M33" s="266"/>
    </row>
    <row r="34" spans="2:13" s="53" customFormat="1" ht="12.75" customHeight="1">
      <c r="B34" s="266"/>
      <c r="C34" s="266"/>
      <c r="D34" s="266"/>
      <c r="E34" s="266"/>
      <c r="F34" s="266"/>
      <c r="G34" s="266"/>
      <c r="H34" s="266"/>
      <c r="I34" s="266"/>
      <c r="J34" s="266"/>
      <c r="K34" s="266"/>
      <c r="L34" s="266"/>
      <c r="M34" s="266"/>
    </row>
    <row r="35" spans="2:13" s="53" customFormat="1" ht="12.75" customHeight="1">
      <c r="B35" s="788" t="str">
        <f>IF('Język - Language'!$B$30="Polski","STRONA GŁÓWNA O2 + ROS O2 (DESKTOP/TABLET)","O2 HOME PAGE + ROS (DESKTOP/TABLET)")</f>
        <v>STRONA GŁÓWNA O2 + ROS O2 (DESKTOP/TABLET)</v>
      </c>
      <c r="C35" s="788"/>
      <c r="D35" s="788"/>
      <c r="E35" s="788"/>
      <c r="F35" s="788" t="str">
        <f>IF('Język - Language'!$B$30="Polski","STRONA GŁÓWNA O2 + ROS O2 (MOBILE)¹","O2 HOME PAGE + ROS (MOBILE)¹")</f>
        <v>STRONA GŁÓWNA O2 + ROS O2 (MOBILE)¹</v>
      </c>
      <c r="G35" s="788"/>
      <c r="H35" s="788"/>
      <c r="I35" s="788" t="str">
        <f>IF('Język - Language'!$B$30="Polski","CZAS EMISJI","TIME")</f>
        <v>CZAS EMISJI</v>
      </c>
      <c r="J35" s="810" t="str">
        <f>IF('Język - Language'!$B$30="Polski","CENA RC","PRICE")</f>
        <v>CENA RC</v>
      </c>
      <c r="K35" s="266"/>
      <c r="L35" s="266"/>
      <c r="M35" s="266"/>
    </row>
    <row r="36" spans="2:13" s="53" customFormat="1" ht="12.75" customHeight="1">
      <c r="B36" s="789"/>
      <c r="C36" s="789"/>
      <c r="D36" s="789"/>
      <c r="E36" s="789"/>
      <c r="F36" s="789"/>
      <c r="G36" s="789"/>
      <c r="H36" s="789"/>
      <c r="I36" s="789"/>
      <c r="J36" s="811"/>
      <c r="K36" s="266"/>
      <c r="L36" s="266"/>
      <c r="M36" s="266"/>
    </row>
    <row r="37" spans="2:13" s="56" customFormat="1" ht="12.75" customHeight="1">
      <c r="B37" s="774" t="s">
        <v>289</v>
      </c>
      <c r="C37" s="775"/>
      <c r="D37" s="775"/>
      <c r="E37" s="776"/>
      <c r="F37" s="777" t="s">
        <v>288</v>
      </c>
      <c r="G37" s="778"/>
      <c r="H37" s="779"/>
      <c r="I37" s="818" t="s">
        <v>325</v>
      </c>
      <c r="J37" s="167">
        <v>190000</v>
      </c>
      <c r="K37" s="266"/>
      <c r="L37" s="266"/>
      <c r="M37" s="266"/>
    </row>
    <row r="38" spans="2:13" s="227" customFormat="1" ht="12.75" customHeight="1">
      <c r="B38" s="784" t="s">
        <v>290</v>
      </c>
      <c r="C38" s="785"/>
      <c r="D38" s="785"/>
      <c r="E38" s="786"/>
      <c r="F38" s="812" t="s">
        <v>320</v>
      </c>
      <c r="G38" s="813"/>
      <c r="H38" s="814"/>
      <c r="I38" s="818"/>
      <c r="J38" s="167">
        <v>140000</v>
      </c>
      <c r="K38" s="266"/>
      <c r="L38" s="266"/>
      <c r="M38" s="266"/>
    </row>
    <row r="39" spans="2:13" s="266" customFormat="1" ht="12.75" customHeight="1">
      <c r="B39" s="774" t="s">
        <v>291</v>
      </c>
      <c r="C39" s="775"/>
      <c r="D39" s="775"/>
      <c r="E39" s="776"/>
      <c r="F39" s="777" t="s">
        <v>321</v>
      </c>
      <c r="G39" s="778"/>
      <c r="H39" s="779"/>
      <c r="I39" s="818"/>
      <c r="J39" s="167">
        <v>155000</v>
      </c>
    </row>
    <row r="40" spans="2:13" ht="12.75" customHeight="1">
      <c r="B40" s="803" t="s">
        <v>229</v>
      </c>
      <c r="C40" s="804"/>
      <c r="D40" s="804"/>
      <c r="E40" s="805"/>
      <c r="F40" s="815" t="s">
        <v>229</v>
      </c>
      <c r="G40" s="816"/>
      <c r="H40" s="817"/>
      <c r="I40" s="818"/>
      <c r="J40" s="169">
        <v>95000</v>
      </c>
      <c r="K40" s="266"/>
      <c r="L40" s="266"/>
      <c r="M40" s="266"/>
    </row>
    <row r="41" spans="2:13" s="266" customFormat="1" ht="12.75" customHeight="1">
      <c r="B41" s="788" t="str">
        <f>IF('Język - Language'!$B$30="Polski","STRONA GŁÓWNA O2 (DESKTOP/TABLET)","O2 HOME PAGE (DESKTOP/TABLET)")</f>
        <v>STRONA GŁÓWNA O2 (DESKTOP/TABLET)</v>
      </c>
      <c r="C41" s="788"/>
      <c r="D41" s="788"/>
      <c r="E41" s="788"/>
      <c r="F41" s="788" t="str">
        <f>IF('Język - Language'!$B$30="Polski","STRONA GŁÓWNA O2 (MOBILE)¹","O2 HOME PAGE (MOBILE)¹")</f>
        <v>STRONA GŁÓWNA O2 (MOBILE)¹</v>
      </c>
      <c r="G41" s="788"/>
      <c r="H41" s="788"/>
      <c r="I41" s="788" t="str">
        <f>IF('Język - Language'!$B$30="Polski","CZAS EMISJI","TIME")</f>
        <v>CZAS EMISJI</v>
      </c>
      <c r="J41" s="810" t="str">
        <f>IF('Język - Language'!$B$30="Polski","CENA RC","PRICE")</f>
        <v>CENA RC</v>
      </c>
    </row>
    <row r="42" spans="2:13" s="266" customFormat="1" ht="12.75" customHeight="1">
      <c r="B42" s="789"/>
      <c r="C42" s="789"/>
      <c r="D42" s="789"/>
      <c r="E42" s="789"/>
      <c r="F42" s="789"/>
      <c r="G42" s="789"/>
      <c r="H42" s="789"/>
      <c r="I42" s="789"/>
      <c r="J42" s="811"/>
    </row>
    <row r="43" spans="2:13" ht="12.75" customHeight="1">
      <c r="B43" s="777" t="s">
        <v>255</v>
      </c>
      <c r="C43" s="778"/>
      <c r="D43" s="778"/>
      <c r="E43" s="779"/>
      <c r="F43" s="777" t="s">
        <v>259</v>
      </c>
      <c r="G43" s="778"/>
      <c r="H43" s="779"/>
      <c r="I43" s="818" t="str">
        <f>IF('Język - Language'!$B$30="Polski","dzień","1 day")</f>
        <v>dzień</v>
      </c>
      <c r="J43" s="168">
        <v>50000</v>
      </c>
      <c r="K43" s="266"/>
      <c r="L43" s="266"/>
      <c r="M43" s="266"/>
    </row>
    <row r="44" spans="2:13" ht="12.75" customHeight="1">
      <c r="B44" s="777" t="s">
        <v>256</v>
      </c>
      <c r="C44" s="778"/>
      <c r="D44" s="778"/>
      <c r="E44" s="779"/>
      <c r="F44" s="777" t="s">
        <v>260</v>
      </c>
      <c r="G44" s="778"/>
      <c r="H44" s="779"/>
      <c r="I44" s="818"/>
      <c r="J44" s="169">
        <v>45000</v>
      </c>
      <c r="K44" s="266"/>
      <c r="L44" s="266"/>
      <c r="M44" s="266"/>
    </row>
    <row r="45" spans="2:13" s="227" customFormat="1" ht="12.75" customHeight="1">
      <c r="B45" s="777" t="s">
        <v>257</v>
      </c>
      <c r="C45" s="778"/>
      <c r="D45" s="778"/>
      <c r="E45" s="779"/>
      <c r="F45" s="777" t="s">
        <v>257</v>
      </c>
      <c r="G45" s="778"/>
      <c r="H45" s="779"/>
      <c r="I45" s="818"/>
      <c r="J45" s="168" t="s">
        <v>261</v>
      </c>
      <c r="K45" s="266"/>
    </row>
    <row r="46" spans="2:13" ht="12.75" customHeight="1">
      <c r="B46" s="767" t="s">
        <v>258</v>
      </c>
      <c r="C46" s="768"/>
      <c r="D46" s="768"/>
      <c r="E46" s="769"/>
      <c r="F46" s="770" t="s">
        <v>258</v>
      </c>
      <c r="G46" s="771"/>
      <c r="H46" s="772"/>
      <c r="I46" s="819"/>
      <c r="J46" s="245" t="s">
        <v>262</v>
      </c>
      <c r="K46" s="266"/>
    </row>
    <row r="47" spans="2:13" ht="12.75" customHeight="1">
      <c r="B47" s="253" t="str">
        <f>IF('Język - Language'!$B$30="Polski","- Emisja na wszystkich urządzeniach. Niedostarczenie kreacji na jedno z urządzeń nie skutkuje obniżką ceny pakietowej.","- All screen emission. Failure on the creation of one of the devices does not result in price reduction package.")</f>
        <v>- Emisja na wszystkich urządzeniach. Niedostarczenie kreacji na jedno z urządzeń nie skutkuje obniżką ceny pakietowej.</v>
      </c>
      <c r="C47" s="251"/>
      <c r="D47" s="251"/>
      <c r="E47" s="251"/>
      <c r="F47" s="251"/>
      <c r="G47" s="251"/>
      <c r="H47" s="251"/>
      <c r="I47" s="251"/>
      <c r="J47" s="252"/>
      <c r="K47" s="266"/>
    </row>
    <row r="48" spans="2:13">
      <c r="B48" s="144" t="str">
        <f>IF('Język - Language'!$B$30="Polski","- Dopłata za expand na desktop + tablet: +50% ","- Expand version of ad format for desktop + tablet with extra charge +50%")</f>
        <v xml:space="preserve">- Dopłata za expand na desktop + tablet: +50% </v>
      </c>
      <c r="C48" s="145"/>
      <c r="D48" s="145"/>
      <c r="E48" s="145"/>
      <c r="F48" s="145"/>
      <c r="G48" s="145"/>
      <c r="H48" s="145"/>
      <c r="I48" s="145"/>
      <c r="J48" s="154"/>
      <c r="K48" s="266"/>
    </row>
    <row r="49" spans="1:11">
      <c r="B49" s="144" t="str">
        <f>IF('Język - Language'!$B$30="Polski","- Emisja innych pakietów Multiscreen dostępna na życzenie z dodatkowymi rabatami","- Others Multiscreen Packages are available on demand. We offer special prices.")</f>
        <v>- Emisja innych pakietów Multiscreen dostępna na życzenie z dodatkowymi rabatami</v>
      </c>
      <c r="C49" s="145"/>
      <c r="D49" s="145"/>
      <c r="E49" s="145"/>
      <c r="F49" s="145"/>
      <c r="G49" s="145"/>
      <c r="H49" s="145"/>
      <c r="I49" s="145"/>
      <c r="J49" s="154"/>
      <c r="K49" s="266"/>
    </row>
    <row r="50" spans="1:11" s="77" customFormat="1">
      <c r="B50" s="153"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50" s="145"/>
      <c r="D50" s="145"/>
      <c r="E50" s="145"/>
      <c r="F50" s="145"/>
      <c r="G50" s="145"/>
      <c r="H50" s="145"/>
      <c r="I50" s="145"/>
      <c r="J50" s="154"/>
      <c r="K50" s="266"/>
    </row>
    <row r="51" spans="1:11" s="266" customFormat="1">
      <c r="B51" s="150" t="s">
        <v>323</v>
      </c>
      <c r="C51" s="145"/>
      <c r="D51" s="145"/>
      <c r="E51" s="145"/>
      <c r="F51" s="145"/>
      <c r="G51" s="145"/>
      <c r="H51" s="145"/>
      <c r="I51" s="145"/>
      <c r="J51" s="687"/>
    </row>
    <row r="52" spans="1:11" s="89" customFormat="1">
      <c r="B52" s="266"/>
      <c r="C52" s="55"/>
      <c r="D52" s="55"/>
      <c r="E52" s="55"/>
      <c r="F52" s="55"/>
      <c r="G52" s="55"/>
      <c r="H52" s="55"/>
      <c r="I52" s="55"/>
      <c r="J52" s="55"/>
      <c r="K52" s="55"/>
    </row>
    <row r="53" spans="1:11" s="266" customFormat="1" ht="12.75" customHeight="1">
      <c r="A53" s="264"/>
      <c r="B53" s="481"/>
      <c r="C53" s="481"/>
      <c r="D53" s="481"/>
      <c r="E53" s="481"/>
      <c r="F53" s="481"/>
      <c r="G53" s="481"/>
      <c r="H53" s="481"/>
      <c r="I53" s="481"/>
      <c r="J53" s="493"/>
    </row>
    <row r="54" spans="1:11" s="266" customFormat="1" ht="12.75" customHeight="1">
      <c r="A54" s="264"/>
      <c r="B54" s="481"/>
      <c r="C54" s="481"/>
      <c r="D54" s="481"/>
      <c r="E54" s="481"/>
      <c r="F54" s="481"/>
      <c r="G54" s="481"/>
      <c r="H54" s="481"/>
      <c r="I54" s="481"/>
      <c r="J54" s="493"/>
    </row>
    <row r="55" spans="1:11" s="266" customFormat="1" ht="25.5" customHeight="1">
      <c r="A55" s="264"/>
      <c r="B55" s="787" t="s">
        <v>194</v>
      </c>
      <c r="C55" s="787"/>
      <c r="D55" s="787"/>
      <c r="E55" s="787"/>
      <c r="F55" s="787" t="s">
        <v>195</v>
      </c>
      <c r="G55" s="787"/>
      <c r="H55" s="787"/>
      <c r="I55" s="498" t="str">
        <f>IF('Język - Language'!$B$30="Polski","CZAS EMISJI","TIME")</f>
        <v>CZAS EMISJI</v>
      </c>
      <c r="J55" s="499" t="str">
        <f>IF('Język - Language'!$B$30="Polski","CENA RC","RC PRICE")</f>
        <v>CENA RC</v>
      </c>
    </row>
    <row r="56" spans="1:11" s="266" customFormat="1" ht="25.5" customHeight="1">
      <c r="A56" s="180"/>
      <c r="B56" s="751" t="s">
        <v>197</v>
      </c>
      <c r="C56" s="752"/>
      <c r="D56" s="752"/>
      <c r="E56" s="753"/>
      <c r="F56" s="751" t="str">
        <f>IF('Język - Language'!$B$30="Polski","Banner skalowalny 3/uu / dzień","Adjusted Banner 3/uu / 24h")</f>
        <v>Banner skalowalny 3/uu / dzień</v>
      </c>
      <c r="G56" s="752"/>
      <c r="H56" s="753"/>
      <c r="I56" s="303" t="s">
        <v>198</v>
      </c>
      <c r="J56" s="491">
        <v>45000</v>
      </c>
    </row>
    <row r="57" spans="1:11" s="266" customFormat="1" ht="25.5" customHeight="1">
      <c r="A57" s="180"/>
      <c r="B57" s="757" t="s">
        <v>205</v>
      </c>
      <c r="C57" s="758"/>
      <c r="D57" s="758"/>
      <c r="E57" s="759"/>
      <c r="F57" s="757" t="str">
        <f>IF('Język - Language'!$B$30="Polski","Banner skalowalny 3/uu / dzień","Adjusted Banner 3/uu / 24h")</f>
        <v>Banner skalowalny 3/uu / dzień</v>
      </c>
      <c r="G57" s="758"/>
      <c r="H57" s="759"/>
      <c r="I57" s="495" t="s">
        <v>198</v>
      </c>
      <c r="J57" s="492">
        <v>60000</v>
      </c>
    </row>
    <row r="58" spans="1:11" s="266" customFormat="1">
      <c r="C58" s="55"/>
      <c r="D58" s="55"/>
      <c r="E58" s="55"/>
      <c r="F58" s="55"/>
      <c r="G58" s="55"/>
      <c r="H58" s="55"/>
      <c r="I58" s="55"/>
      <c r="J58" s="55"/>
      <c r="K58" s="55"/>
    </row>
    <row r="59" spans="1:11" s="266" customFormat="1"/>
    <row r="61" spans="1:11" s="266" customFormat="1" ht="12.75" customHeight="1">
      <c r="B61" s="783" t="str">
        <f>IF('Język - Language'!$B$30="Polski","PUDELEK: SG + ROS (DESKTOP/TABLET)","PUDELEK: HOMEPAGE + ROS (DESKTOP/TABLET)")</f>
        <v>PUDELEK: SG + ROS (DESKTOP/TABLET)</v>
      </c>
      <c r="C61" s="783"/>
      <c r="D61" s="783"/>
      <c r="E61" s="783"/>
      <c r="F61" s="783" t="str">
        <f>IF('Język - Language'!$B$30="Polski","PUDELEK: SG + ROS (MOBILE)¹","PUDELEK: HOMEPAGE + ROS (MOBILE)¹")</f>
        <v>PUDELEK: SG + ROS (MOBILE)¹</v>
      </c>
      <c r="G61" s="783"/>
      <c r="H61" s="783"/>
      <c r="I61" s="783" t="str">
        <f>IF('Język - Language'!$B$30="Polski","CZAS EMISJI","TIME")</f>
        <v>CZAS EMISJI</v>
      </c>
      <c r="J61" s="809" t="str">
        <f>IF('Język - Language'!$B$30="Polski","CENA RC","PRICE")</f>
        <v>CENA RC</v>
      </c>
    </row>
    <row r="62" spans="1:11" s="266" customFormat="1">
      <c r="B62" s="783"/>
      <c r="C62" s="783"/>
      <c r="D62" s="783"/>
      <c r="E62" s="783"/>
      <c r="F62" s="783"/>
      <c r="G62" s="783"/>
      <c r="H62" s="783"/>
      <c r="I62" s="783"/>
      <c r="J62" s="809"/>
    </row>
    <row r="63" spans="1:11" s="266" customFormat="1" ht="12.75" customHeight="1">
      <c r="B63" s="784" t="str">
        <f>IF('Język - Language'!$B$30="Polski","Double Billboard lub Wideboard 3/uu / dzień","Double Billboard or Wideboard 3/uu / day")</f>
        <v>Double Billboard lub Wideboard 3/uu / dzień</v>
      </c>
      <c r="C63" s="785"/>
      <c r="D63" s="785"/>
      <c r="E63" s="786"/>
      <c r="F63" s="813" t="str">
        <f>IF('Język - Language'!$B$30="Polski","Banner skalowalny 3/uu / dzień","Adjusted Banner 3/uu / day")</f>
        <v>Banner skalowalny 3/uu / dzień</v>
      </c>
      <c r="G63" s="813"/>
      <c r="H63" s="814"/>
      <c r="I63" s="818" t="str">
        <f>IF('Język - Language'!$B$30="Polski","3/uu / dzień","3/uu / 1 day")</f>
        <v>3/uu / dzień</v>
      </c>
      <c r="J63" s="167">
        <v>170000</v>
      </c>
    </row>
    <row r="64" spans="1:11" s="266" customFormat="1" ht="12.75" customHeight="1">
      <c r="B64" s="774" t="str">
        <f>IF('Język - Language'!$B$30="Polski","Screening 1/uu + DBB/Wideboard 2/uu / dzień (tablet: tylko górny format)","Screening 1/uu + DBB/Wideboard 2/uu / day (tablet:only upper banner)")</f>
        <v>Screening 1/uu + DBB/Wideboard 2/uu / dzień (tablet: tylko górny format)</v>
      </c>
      <c r="C64" s="775"/>
      <c r="D64" s="775"/>
      <c r="E64" s="776"/>
      <c r="F64" s="725" t="str">
        <f>IF('Język - Language'!$B$30="Polski","Banner skalowalny XL 1/uu + Banner skalowalny 2/uu / dzień²","Adjusted Banner XL 1/uu + Adjusted Banner 2/uu / day²")</f>
        <v>Banner skalowalny XL 1/uu + Banner skalowalny 2/uu / dzień²</v>
      </c>
      <c r="G64" s="732"/>
      <c r="H64" s="726"/>
      <c r="I64" s="818"/>
      <c r="J64" s="168">
        <v>185000</v>
      </c>
    </row>
    <row r="65" spans="1:18" ht="12.75" customHeight="1">
      <c r="B65" s="774" t="str">
        <f>IF('Język - Language'!$B$30="Polski","Screening + DBB/Wideboard 3/uu / dzień (tablet: tylko górny format)","Screening + DBB/Wideboard 3/uu / day (tablet:only upper banner)")</f>
        <v>Screening + DBB/Wideboard 3/uu / dzień (tablet: tylko górny format)</v>
      </c>
      <c r="C65" s="775"/>
      <c r="D65" s="775"/>
      <c r="E65" s="776"/>
      <c r="F65" s="725" t="str">
        <f>IF('Język - Language'!$B$30="Polski","Banner skalowalny XL 1/uu + Banner skalowalny 2/uu / dzień²","Adjusted Banner XL 1/uu + Adjusted Banner 2/uu / day²")</f>
        <v>Banner skalowalny XL 1/uu + Banner skalowalny 2/uu / dzień²</v>
      </c>
      <c r="G65" s="732"/>
      <c r="H65" s="726"/>
      <c r="I65" s="818"/>
      <c r="J65" s="168">
        <v>200000</v>
      </c>
      <c r="K65" s="266"/>
    </row>
    <row r="66" spans="1:18" s="151" customFormat="1" ht="12.75" customHeight="1">
      <c r="B66" s="767" t="str">
        <f>IF('Język - Language'!$B$30="Polski","Gigaboard 1/uu + Double Billboard/Wideboard 2/uu / dzień","Gigaboard 1/uu + Double Billboard/Wideboard 2/uu / day")</f>
        <v>Gigaboard 1/uu + Double Billboard/Wideboard 2/uu / dzień</v>
      </c>
      <c r="C66" s="768"/>
      <c r="D66" s="768"/>
      <c r="E66" s="769"/>
      <c r="F66" s="741" t="str">
        <f>IF('Język - Language'!$B$30="Polski","Banner skalowalny XL 1/uu + Banner skalowalny 2/uu / dzień","Adjusted Banner XL 1/uu + Adjusted Banner 2/uu / day")</f>
        <v>Banner skalowalny XL 1/uu + Banner skalowalny 2/uu / dzień</v>
      </c>
      <c r="G66" s="742"/>
      <c r="H66" s="743"/>
      <c r="I66" s="819"/>
      <c r="J66" s="170">
        <v>220000</v>
      </c>
      <c r="K66" s="266"/>
    </row>
    <row r="67" spans="1:18">
      <c r="A67" s="266"/>
      <c r="B67" s="150"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67" s="156"/>
      <c r="D67" s="156"/>
      <c r="E67" s="156"/>
      <c r="F67" s="156"/>
      <c r="G67" s="156"/>
      <c r="H67" s="156"/>
      <c r="I67" s="156"/>
      <c r="J67" s="159"/>
      <c r="K67" s="266"/>
      <c r="L67" s="266"/>
      <c r="M67" s="266"/>
      <c r="N67" s="266"/>
      <c r="O67" s="266"/>
      <c r="P67" s="266"/>
      <c r="Q67" s="266"/>
      <c r="R67" s="266"/>
    </row>
    <row r="68" spans="1:18" s="266" customFormat="1">
      <c r="B68" s="150" t="s">
        <v>322</v>
      </c>
      <c r="C68" s="156"/>
      <c r="D68" s="156"/>
      <c r="E68" s="156"/>
      <c r="F68" s="156"/>
      <c r="G68" s="156"/>
      <c r="H68" s="156"/>
      <c r="I68" s="156"/>
      <c r="J68" s="171"/>
    </row>
    <row r="69" spans="1:18" s="162" customFormat="1">
      <c r="A69" s="266"/>
      <c r="B69" s="187"/>
      <c r="C69" s="266"/>
      <c r="D69" s="266"/>
      <c r="E69" s="266"/>
      <c r="F69" s="266"/>
      <c r="G69" s="266"/>
      <c r="H69" s="266"/>
      <c r="I69" s="266"/>
      <c r="J69" s="266"/>
      <c r="K69" s="264"/>
      <c r="L69" s="266"/>
      <c r="M69" s="266"/>
      <c r="N69" s="266"/>
      <c r="O69" s="266"/>
      <c r="P69" s="266"/>
      <c r="Q69" s="266"/>
      <c r="R69" s="266"/>
    </row>
    <row r="70" spans="1:18" s="162" customFormat="1">
      <c r="A70" s="266"/>
      <c r="B70" s="187"/>
      <c r="C70" s="266"/>
      <c r="D70" s="266"/>
      <c r="E70" s="266"/>
      <c r="F70" s="266"/>
      <c r="G70" s="266"/>
      <c r="H70" s="266"/>
      <c r="I70" s="266"/>
      <c r="J70" s="266"/>
      <c r="K70" s="264"/>
      <c r="L70" s="266"/>
      <c r="M70" s="266"/>
      <c r="N70" s="266"/>
      <c r="O70" s="266"/>
      <c r="P70" s="266"/>
      <c r="Q70" s="266"/>
      <c r="R70" s="266"/>
    </row>
    <row r="71" spans="1:18" s="175" customFormat="1" ht="25.5" customHeight="1">
      <c r="A71" s="266"/>
      <c r="B71" s="790" t="s">
        <v>267</v>
      </c>
      <c r="C71" s="791"/>
      <c r="D71" s="791"/>
      <c r="E71" s="792"/>
      <c r="F71" s="790" t="s">
        <v>268</v>
      </c>
      <c r="G71" s="791"/>
      <c r="H71" s="792"/>
      <c r="I71" s="188" t="str">
        <f>IF('Język - Language'!$B$30="Polski","MODEL EMISJI","MODEL OF EMISSION")</f>
        <v>MODEL EMISJI</v>
      </c>
      <c r="J71" s="188" t="str">
        <f>IF('Język - Language'!$B$30="Polski","CENA RC","RC PRICE")</f>
        <v>CENA RC</v>
      </c>
      <c r="K71" s="266"/>
      <c r="L71" s="266"/>
      <c r="M71" s="266"/>
      <c r="N71" s="266"/>
      <c r="O71" s="266"/>
      <c r="P71" s="266"/>
      <c r="Q71" s="266"/>
      <c r="R71" s="266"/>
    </row>
    <row r="72" spans="1:18" s="175" customFormat="1">
      <c r="A72" s="180"/>
      <c r="B72" s="754" t="s">
        <v>5</v>
      </c>
      <c r="C72" s="755"/>
      <c r="D72" s="755"/>
      <c r="E72" s="756"/>
      <c r="F72" s="754" t="str">
        <f>IF('Język - Language'!$B$30="Polski","Banner skalowalny","Adjusted Banner")</f>
        <v>Banner skalowalny</v>
      </c>
      <c r="G72" s="755"/>
      <c r="H72" s="756"/>
      <c r="I72" s="735" t="str">
        <f>IF('Język - Language'!$B$30="Polski","Flat Fee / tydzień","Flat Fee / 1 week")</f>
        <v>Flat Fee / tydzień</v>
      </c>
      <c r="J72" s="178">
        <v>78000</v>
      </c>
      <c r="K72" s="266"/>
      <c r="L72" s="266"/>
      <c r="M72" s="266"/>
      <c r="N72" s="266"/>
      <c r="O72" s="266"/>
      <c r="P72" s="266"/>
      <c r="Q72" s="266"/>
      <c r="R72" s="266"/>
    </row>
    <row r="73" spans="1:18" s="162" customFormat="1">
      <c r="A73" s="180"/>
      <c r="B73" s="725" t="s">
        <v>6</v>
      </c>
      <c r="C73" s="732"/>
      <c r="D73" s="732"/>
      <c r="E73" s="726"/>
      <c r="F73" s="725" t="str">
        <f>IF('Język - Language'!$B$30="Polski","Banner skalowalny XL","Adjusted Banner XL")</f>
        <v>Banner skalowalny XL</v>
      </c>
      <c r="G73" s="732"/>
      <c r="H73" s="726"/>
      <c r="I73" s="736"/>
      <c r="J73" s="177">
        <v>105000</v>
      </c>
      <c r="K73" s="266"/>
      <c r="L73" s="266"/>
      <c r="M73" s="266"/>
      <c r="N73" s="266"/>
      <c r="O73" s="266"/>
      <c r="P73" s="266"/>
      <c r="Q73" s="266"/>
      <c r="R73" s="266"/>
    </row>
    <row r="74" spans="1:18" s="162" customFormat="1">
      <c r="A74" s="180"/>
      <c r="B74" s="725" t="s">
        <v>269</v>
      </c>
      <c r="C74" s="732"/>
      <c r="D74" s="732"/>
      <c r="E74" s="726"/>
      <c r="F74" s="725" t="str">
        <f>IF('Język - Language'!$B$30="Polski","Banner skalowalny XL","Adjusted Banner XL")</f>
        <v>Banner skalowalny XL</v>
      </c>
      <c r="G74" s="732"/>
      <c r="H74" s="726"/>
      <c r="I74" s="736"/>
      <c r="J74" s="177">
        <v>120000</v>
      </c>
      <c r="K74" s="266"/>
      <c r="L74" s="266"/>
      <c r="M74" s="266"/>
      <c r="N74" s="266"/>
      <c r="O74" s="266"/>
      <c r="P74" s="266"/>
      <c r="Q74" s="266"/>
      <c r="R74" s="266"/>
    </row>
    <row r="75" spans="1:18" s="162" customFormat="1">
      <c r="A75" s="180"/>
      <c r="B75" s="725" t="s">
        <v>7</v>
      </c>
      <c r="C75" s="732"/>
      <c r="D75" s="732"/>
      <c r="E75" s="726"/>
      <c r="F75" s="725" t="str">
        <f>IF('Język - Language'!$B$30="Polski","Rectangle nr 1","Rectangle no.1")</f>
        <v>Rectangle nr 1</v>
      </c>
      <c r="G75" s="732"/>
      <c r="H75" s="726"/>
      <c r="I75" s="736"/>
      <c r="J75" s="176">
        <v>45000</v>
      </c>
      <c r="K75" s="266"/>
      <c r="L75" s="266"/>
      <c r="M75" s="266"/>
      <c r="N75" s="266"/>
      <c r="O75" s="266"/>
      <c r="P75" s="266"/>
      <c r="Q75" s="266"/>
      <c r="R75" s="266"/>
    </row>
    <row r="76" spans="1:18" s="162" customFormat="1">
      <c r="A76" s="180"/>
      <c r="B76" s="741" t="s">
        <v>8</v>
      </c>
      <c r="C76" s="742"/>
      <c r="D76" s="742"/>
      <c r="E76" s="743"/>
      <c r="F76" s="727" t="str">
        <f>IF('Język - Language'!$B$30="Polski","Banner skalowany","Adjusted Banner")</f>
        <v>Banner skalowany</v>
      </c>
      <c r="G76" s="728"/>
      <c r="H76" s="731"/>
      <c r="I76" s="737"/>
      <c r="J76" s="312">
        <v>52000</v>
      </c>
      <c r="K76" s="266"/>
      <c r="L76" s="266"/>
      <c r="M76" s="266"/>
      <c r="N76" s="266"/>
      <c r="O76" s="266"/>
      <c r="P76" s="266"/>
      <c r="Q76" s="266"/>
      <c r="R76" s="266"/>
    </row>
    <row r="77" spans="1:18" s="162" customFormat="1">
      <c r="A77" s="266"/>
      <c r="B77" s="150" t="str">
        <f>IF('Język - Language'!$B$30="Polski","¹ dopłata do formatu 1200x200 px 25%","¹ Extra charge for 1200x200 px format +25%")</f>
        <v>¹ dopłata do formatu 1200x200 px 25%</v>
      </c>
      <c r="C77" s="156"/>
      <c r="D77" s="156"/>
      <c r="E77" s="156"/>
      <c r="F77" s="171"/>
      <c r="G77" s="171"/>
      <c r="H77" s="156"/>
      <c r="I77" s="156"/>
      <c r="J77" s="157"/>
      <c r="K77" s="266"/>
      <c r="L77" s="266"/>
      <c r="M77" s="266"/>
      <c r="N77" s="266"/>
      <c r="O77" s="266"/>
      <c r="P77" s="266"/>
      <c r="Q77" s="266"/>
      <c r="R77" s="266"/>
    </row>
    <row r="78" spans="1:18" s="162" customFormat="1">
      <c r="A78" s="266"/>
      <c r="B78" s="150" t="str">
        <f>IF('Język - Language'!$B$30="Polski","² Content Box XL +75%","² Content Box XL +75%")</f>
        <v>² Content Box XL +75%</v>
      </c>
      <c r="C78" s="156"/>
      <c r="D78" s="156"/>
      <c r="E78" s="156"/>
      <c r="F78" s="156"/>
      <c r="G78" s="156"/>
      <c r="H78" s="156"/>
      <c r="I78" s="156"/>
      <c r="J78" s="159"/>
      <c r="K78" s="266"/>
      <c r="L78" s="266"/>
      <c r="M78" s="266"/>
      <c r="N78" s="266"/>
      <c r="O78" s="266"/>
      <c r="P78" s="266"/>
      <c r="Q78" s="266"/>
      <c r="R78" s="266"/>
    </row>
    <row r="79" spans="1:18" s="179" customFormat="1">
      <c r="A79" s="266"/>
      <c r="B79" s="187"/>
      <c r="C79" s="266"/>
      <c r="D79" s="266"/>
      <c r="E79" s="266"/>
      <c r="F79" s="266"/>
      <c r="G79" s="266"/>
      <c r="H79" s="266"/>
      <c r="I79" s="266"/>
      <c r="J79" s="266"/>
      <c r="K79" s="266"/>
      <c r="L79" s="266"/>
      <c r="M79" s="266"/>
      <c r="N79" s="266"/>
      <c r="O79" s="266"/>
      <c r="P79" s="266"/>
      <c r="Q79" s="266"/>
      <c r="R79" s="266"/>
    </row>
    <row r="80" spans="1:18" s="179" customFormat="1">
      <c r="A80" s="266"/>
      <c r="B80" s="187"/>
      <c r="C80" s="266"/>
      <c r="D80" s="266"/>
      <c r="E80" s="266"/>
      <c r="F80" s="266"/>
      <c r="G80" s="266"/>
      <c r="H80" s="266"/>
      <c r="I80" s="266"/>
      <c r="J80" s="266"/>
      <c r="K80" s="266"/>
      <c r="L80" s="266"/>
      <c r="M80" s="266"/>
      <c r="N80" s="266"/>
      <c r="O80" s="266"/>
      <c r="P80" s="266"/>
      <c r="Q80" s="266"/>
      <c r="R80" s="266"/>
    </row>
    <row r="81" spans="1:18" s="179" customFormat="1" ht="25.5" customHeight="1">
      <c r="A81" s="266"/>
      <c r="B81" s="740" t="str">
        <f>IF('Język - Language'!$B$30="Polski","STRONA GŁÓWNA SPORTOWEFAKTY (DESKTOP/TABLET)","SPORTOWEFAKTY HOMEPAGE (DESKTOP/TABLET)")</f>
        <v>STRONA GŁÓWNA SPORTOWEFAKTY (DESKTOP/TABLET)</v>
      </c>
      <c r="C81" s="740"/>
      <c r="D81" s="740"/>
      <c r="E81" s="740"/>
      <c r="F81" s="740" t="str">
        <f>IF('Język - Language'!$B$30="Polski","STRONA GŁÓWNA SPORTOWEFAKTY (MOBILE)¹","SPORTOWEFAKTY HOMEPAGE (MOBILE)¹")</f>
        <v>STRONA GŁÓWNA SPORTOWEFAKTY (MOBILE)¹</v>
      </c>
      <c r="G81" s="740"/>
      <c r="H81" s="740"/>
      <c r="I81" s="296" t="str">
        <f>IF('Język - Language'!$B$30="Polski","CZAS EMISJI","TIME")</f>
        <v>CZAS EMISJI</v>
      </c>
      <c r="J81" s="201" t="str">
        <f>IF('Język - Language'!$B$30="Polski","CENA RC","RC PRICE")</f>
        <v>CENA RC</v>
      </c>
      <c r="K81" s="266"/>
      <c r="L81" s="266"/>
      <c r="M81" s="266"/>
      <c r="N81" s="266"/>
      <c r="O81" s="266"/>
      <c r="P81" s="266"/>
      <c r="Q81" s="266"/>
      <c r="R81" s="266"/>
    </row>
    <row r="82" spans="1:18" s="179" customFormat="1">
      <c r="A82" s="180"/>
      <c r="B82" s="797" t="str">
        <f>IF('Język - Language'!$B$30="Polski","Content Box","Content Box")</f>
        <v>Content Box</v>
      </c>
      <c r="C82" s="798"/>
      <c r="D82" s="798"/>
      <c r="E82" s="799"/>
      <c r="F82" s="797" t="str">
        <f>IF('Język - Language'!$B$30="Polski","Rectangle","Rectangle")</f>
        <v>Rectangle</v>
      </c>
      <c r="G82" s="798"/>
      <c r="H82" s="799"/>
      <c r="I82" s="200" t="str">
        <f>IF('Język - Language'!$B$30="Polski","Flat Fee / dzień","Flat Fee / 24 h")</f>
        <v>Flat Fee / dzień</v>
      </c>
      <c r="J82" s="174">
        <v>20000</v>
      </c>
      <c r="K82" s="266"/>
      <c r="L82" s="266"/>
      <c r="M82" s="266"/>
      <c r="N82" s="266"/>
      <c r="O82" s="266"/>
      <c r="P82" s="266"/>
      <c r="Q82" s="266"/>
      <c r="R82" s="266"/>
    </row>
    <row r="83" spans="1:18" s="179" customFormat="1">
      <c r="A83" s="180"/>
      <c r="B83" s="797"/>
      <c r="C83" s="798"/>
      <c r="D83" s="798"/>
      <c r="E83" s="799"/>
      <c r="F83" s="797"/>
      <c r="G83" s="798"/>
      <c r="H83" s="799"/>
      <c r="I83" s="304" t="str">
        <f>IF('Język - Language'!$B$30="Polski","Flat Fee / tydzień","Flat Fee / 1 week")</f>
        <v>Flat Fee / tydzień</v>
      </c>
      <c r="J83" s="173">
        <v>100000</v>
      </c>
      <c r="K83" s="266"/>
      <c r="L83" s="266"/>
      <c r="M83" s="266"/>
      <c r="N83" s="266"/>
      <c r="O83" s="266"/>
      <c r="P83" s="266"/>
      <c r="Q83" s="266"/>
      <c r="R83" s="266"/>
    </row>
    <row r="84" spans="1:18" s="179" customFormat="1" ht="25.5" customHeight="1">
      <c r="A84" s="266"/>
      <c r="B84" s="740" t="s">
        <v>9</v>
      </c>
      <c r="C84" s="740"/>
      <c r="D84" s="740"/>
      <c r="E84" s="740"/>
      <c r="F84" s="740" t="s">
        <v>10</v>
      </c>
      <c r="G84" s="740"/>
      <c r="H84" s="740"/>
      <c r="I84" s="296" t="str">
        <f>IF('Język - Language'!$B$30="Polski","CZAS EMISJI","TIME")</f>
        <v>CZAS EMISJI</v>
      </c>
      <c r="J84" s="201" t="str">
        <f>IF('Język - Language'!$B$30="Polski","CENA RC","RC PRICE")</f>
        <v>CENA RC</v>
      </c>
      <c r="K84" s="266"/>
      <c r="L84" s="266"/>
      <c r="M84" s="266"/>
      <c r="N84" s="266"/>
      <c r="O84" s="266"/>
      <c r="P84" s="266"/>
      <c r="Q84" s="266"/>
      <c r="R84" s="266"/>
    </row>
    <row r="85" spans="1:18" s="179" customFormat="1" ht="25.5" customHeight="1">
      <c r="A85" s="180"/>
      <c r="B85" s="751" t="str">
        <f>IF('Język - Language'!$B$30="Polski","Double Billboard","Double Billboard")</f>
        <v>Double Billboard</v>
      </c>
      <c r="C85" s="752"/>
      <c r="D85" s="752"/>
      <c r="E85" s="753"/>
      <c r="F85" s="751" t="str">
        <f>IF('Język - Language'!$B$30="Polski","Banner skalowalny","Adjusted Banner")</f>
        <v>Banner skalowalny</v>
      </c>
      <c r="G85" s="752"/>
      <c r="H85" s="753"/>
      <c r="I85" s="200" t="str">
        <f>IF('Język - Language'!$B$30="Polski","Flat Fee / dzień","Flat Fee / 24 h")</f>
        <v>Flat Fee / dzień</v>
      </c>
      <c r="J85" s="387">
        <v>160000</v>
      </c>
      <c r="K85" s="266"/>
      <c r="L85" s="266"/>
      <c r="M85" s="266"/>
      <c r="N85" s="266"/>
      <c r="O85" s="266"/>
      <c r="P85" s="266"/>
      <c r="Q85" s="266"/>
      <c r="R85" s="266"/>
    </row>
    <row r="86" spans="1:18" s="266" customFormat="1" ht="25.5" customHeight="1">
      <c r="A86" s="180"/>
      <c r="B86" s="751" t="s">
        <v>146</v>
      </c>
      <c r="C86" s="752"/>
      <c r="D86" s="752"/>
      <c r="E86" s="753"/>
      <c r="F86" s="760" t="s">
        <v>189</v>
      </c>
      <c r="G86" s="761"/>
      <c r="H86" s="762"/>
      <c r="I86" s="200" t="s">
        <v>148</v>
      </c>
      <c r="J86" s="388">
        <v>120000</v>
      </c>
    </row>
    <row r="87" spans="1:18" s="266" customFormat="1" ht="25.5" customHeight="1">
      <c r="A87" s="180"/>
      <c r="B87" s="757" t="s">
        <v>147</v>
      </c>
      <c r="C87" s="758"/>
      <c r="D87" s="758"/>
      <c r="E87" s="759"/>
      <c r="F87" s="763" t="s">
        <v>149</v>
      </c>
      <c r="G87" s="764"/>
      <c r="H87" s="765"/>
      <c r="I87" s="382" t="s">
        <v>148</v>
      </c>
      <c r="J87" s="381">
        <v>155000</v>
      </c>
    </row>
    <row r="88" spans="1:18" s="266" customFormat="1" ht="12.75" customHeight="1">
      <c r="A88" s="264"/>
      <c r="B88" s="150" t="str">
        <f>IF('Język - Language'!$B$30="Polski","¹ kreacje skalowane przyjmują różne rozmiary w zależności od wielkości wyświetlacza telefonu użytkownika.","¹ The size of the banner depends on the user screen size.")</f>
        <v>¹ kreacje skalowane przyjmują różne rozmiary w zależności od wielkości wyświetlacza telefonu użytkownika.</v>
      </c>
      <c r="C88" s="688"/>
      <c r="D88" s="688"/>
      <c r="E88" s="688"/>
      <c r="F88" s="688"/>
      <c r="G88" s="688"/>
      <c r="H88" s="688"/>
      <c r="I88" s="689"/>
      <c r="J88" s="690"/>
    </row>
    <row r="89" spans="1:18" s="266" customFormat="1" ht="12.75" customHeight="1">
      <c r="A89" s="264"/>
      <c r="B89" s="273"/>
      <c r="C89" s="273"/>
      <c r="D89" s="273"/>
      <c r="E89" s="273"/>
      <c r="F89" s="273"/>
      <c r="G89" s="273"/>
      <c r="H89" s="273"/>
      <c r="I89" s="273"/>
      <c r="J89" s="276"/>
    </row>
    <row r="90" spans="1:18" s="266" customFormat="1" ht="12.75" customHeight="1">
      <c r="A90" s="264"/>
      <c r="B90" s="273"/>
      <c r="C90" s="273"/>
      <c r="D90" s="273"/>
      <c r="E90" s="273"/>
      <c r="F90" s="273"/>
      <c r="G90" s="273"/>
      <c r="H90" s="273"/>
      <c r="I90" s="273"/>
      <c r="J90" s="276"/>
    </row>
    <row r="91" spans="1:18" s="266" customFormat="1" ht="12.75" customHeight="1">
      <c r="A91" s="264"/>
      <c r="B91" s="273"/>
      <c r="C91" s="273"/>
      <c r="D91" s="273"/>
      <c r="E91" s="273"/>
      <c r="F91" s="273"/>
      <c r="G91" s="273"/>
      <c r="H91" s="273"/>
      <c r="I91" s="273"/>
      <c r="J91" s="276"/>
    </row>
    <row r="92" spans="1:18" s="266" customFormat="1" ht="25.5" customHeight="1">
      <c r="A92" s="264"/>
      <c r="B92" s="766" t="s">
        <v>11</v>
      </c>
      <c r="C92" s="766"/>
      <c r="D92" s="766"/>
      <c r="E92" s="766"/>
      <c r="F92" s="766" t="s">
        <v>87</v>
      </c>
      <c r="G92" s="766"/>
      <c r="H92" s="766"/>
      <c r="I92" s="496" t="str">
        <f>IF('Język - Language'!$B$30="Polski","CZAS EMISJI","TIME")</f>
        <v>CZAS EMISJI</v>
      </c>
      <c r="J92" s="497" t="str">
        <f>IF('Język - Language'!$B$30="Polski","CENA RC","RC PRICE")</f>
        <v>CENA RC</v>
      </c>
    </row>
    <row r="93" spans="1:18" s="266" customFormat="1" ht="12.75" customHeight="1">
      <c r="A93" s="180"/>
      <c r="B93" s="797" t="s">
        <v>196</v>
      </c>
      <c r="C93" s="798"/>
      <c r="D93" s="798"/>
      <c r="E93" s="799"/>
      <c r="F93" s="797" t="str">
        <f>IF('Język - Language'!$B$30="Polski","Banner skalowalny capp 1/uu / dzień","Adjusted Banner capp 1/uu / day")</f>
        <v>Banner skalowalny capp 1/uu / dzień</v>
      </c>
      <c r="G93" s="798"/>
      <c r="H93" s="799"/>
      <c r="I93" s="303" t="str">
        <f>IF('Język - Language'!$B$30="Polski","Flat Fee / dzień","Flat Fee / 24 h")</f>
        <v>Flat Fee / dzień</v>
      </c>
      <c r="J93" s="491">
        <v>25000</v>
      </c>
    </row>
    <row r="94" spans="1:18" s="266" customFormat="1" ht="12.75" customHeight="1">
      <c r="A94" s="180"/>
      <c r="B94" s="751"/>
      <c r="C94" s="752"/>
      <c r="D94" s="752"/>
      <c r="E94" s="753"/>
      <c r="F94" s="751"/>
      <c r="G94" s="752"/>
      <c r="H94" s="753"/>
      <c r="I94" s="303" t="str">
        <f>IF('Język - Language'!$B$30="Polski","Flat Fee / tydzień","Flat Fee / 1 week")</f>
        <v>Flat Fee / tydzień</v>
      </c>
      <c r="J94" s="174">
        <v>140000</v>
      </c>
    </row>
    <row r="95" spans="1:18" s="266" customFormat="1" ht="12.75" customHeight="1">
      <c r="A95" s="180"/>
      <c r="B95" s="797" t="s">
        <v>12</v>
      </c>
      <c r="C95" s="798"/>
      <c r="D95" s="798"/>
      <c r="E95" s="799"/>
      <c r="F95" s="800" t="str">
        <f>IF('Język - Language'!$B$30="Polski","Banner skalowalny capp 3/uu / dzień","Adjusted Banner capp 3/uu / day")</f>
        <v>Banner skalowalny capp 3/uu / dzień</v>
      </c>
      <c r="G95" s="801"/>
      <c r="H95" s="802"/>
      <c r="I95" s="277" t="str">
        <f>IF('Język - Language'!$B$30="Polski","Flat Fee / dzień","Flat Fee / 24 h")</f>
        <v>Flat Fee / dzień</v>
      </c>
      <c r="J95" s="305">
        <v>15000</v>
      </c>
    </row>
    <row r="96" spans="1:18" s="266" customFormat="1" ht="12.75" customHeight="1">
      <c r="A96" s="180"/>
      <c r="B96" s="757"/>
      <c r="C96" s="758"/>
      <c r="D96" s="758"/>
      <c r="E96" s="759"/>
      <c r="F96" s="757"/>
      <c r="G96" s="758"/>
      <c r="H96" s="759"/>
      <c r="I96" s="302" t="str">
        <f>IF('Język - Language'!$B$30="Polski","Flat Fee / tydzień","Flat Fee / 1 week")</f>
        <v>Flat Fee / tydzień</v>
      </c>
      <c r="J96" s="172">
        <v>90000</v>
      </c>
    </row>
    <row r="97" spans="1:18" s="179" customFormat="1">
      <c r="A97" s="266"/>
      <c r="B97" s="187"/>
      <c r="C97" s="266"/>
      <c r="D97" s="266"/>
      <c r="E97" s="266"/>
      <c r="F97" s="266"/>
      <c r="G97" s="266"/>
      <c r="H97" s="266"/>
      <c r="I97" s="266"/>
      <c r="J97" s="266"/>
      <c r="K97" s="266"/>
      <c r="L97" s="266"/>
      <c r="M97" s="266"/>
      <c r="N97" s="266"/>
      <c r="O97" s="266"/>
      <c r="P97" s="266"/>
      <c r="Q97" s="266"/>
      <c r="R97" s="266"/>
    </row>
    <row r="99" spans="1:18" s="63" customFormat="1" ht="25.5" customHeight="1">
      <c r="A99" s="266"/>
      <c r="B99" s="160"/>
      <c r="C99" s="738" t="str">
        <f>IF('Język - Language'!$B$30="Polski","DNIÓWKI TEMATYCZNE","DAILY THEMATIC EMISSION")</f>
        <v>DNIÓWKI TEMATYCZNE</v>
      </c>
      <c r="D99" s="738" t="str">
        <f>IF('Język - Language'!$B$30="Polski","MIEJSCE EMISJI","PLACE OF EMISSION")</f>
        <v>MIEJSCE EMISJI</v>
      </c>
      <c r="E99" s="738"/>
      <c r="F99" s="738" t="str">
        <f>IF('Język - Language'!$B$30="Polski","MODEL EMISJI","MODEL OF EMISSION")</f>
        <v>MODEL EMISJI</v>
      </c>
      <c r="G99" s="738" t="str">
        <f>IF('Język - Language'!$B$30="Polski","DOUBLE BILLBOARD LUB HALFPAGE 3/uu (DESKTOP/TABLET)","DOUBLE BILLBOARD OR HALFPAGE 3/uu (DESKTOP/TABLET)")</f>
        <v>DOUBLE BILLBOARD LUB HALFPAGE 3/uu (DESKTOP/TABLET)</v>
      </c>
      <c r="H99" s="738"/>
      <c r="I99" s="738" t="str">
        <f>IF('Język - Language'!$B$30="Polski","SCREENING 200 1/uu + DOUBLE BILLBOARD 2/uu (DESKTOP/TABLET)²","SCREENING 200 1/uu + DOUBLE BILLBOARD 2/uu (DESKTOP/TABLET)²")</f>
        <v>SCREENING 200 1/uu + DOUBLE BILLBOARD 2/uu (DESKTOP/TABLET)²</v>
      </c>
      <c r="J99" s="744"/>
      <c r="K99" s="266"/>
      <c r="L99" s="20"/>
      <c r="M99" s="6"/>
      <c r="N99" s="28"/>
      <c r="O99" s="264"/>
      <c r="P99" s="264"/>
      <c r="Q99" s="264"/>
      <c r="R99" s="266"/>
    </row>
    <row r="100" spans="1:18" s="122" customFormat="1" ht="25.5" customHeight="1">
      <c r="A100" s="266"/>
      <c r="B100" s="161"/>
      <c r="C100" s="739"/>
      <c r="D100" s="739"/>
      <c r="E100" s="739"/>
      <c r="F100" s="739"/>
      <c r="G100" s="747" t="str">
        <f>IF('Język - Language'!$B$30="Polski","BANNER SKALOWALNY 3/uu (MOBILE)","ADJUSTED BANNER 3/uu (MOBILE)")</f>
        <v>BANNER SKALOWALNY 3/uu (MOBILE)</v>
      </c>
      <c r="H100" s="747"/>
      <c r="I100" s="747" t="str">
        <f>IF('Język - Language'!$B$30="Polski","BANNER XL 1/uu + BANNER SKALOWALNY 2/uu (MOBILE)³","BANNER XL 1/uu + ADJUSTED BANNER 2/uu (MOBILE)³")</f>
        <v>BANNER XL 1/uu + BANNER SKALOWALNY 2/uu (MOBILE)³</v>
      </c>
      <c r="J100" s="748"/>
      <c r="K100" s="266"/>
      <c r="L100" s="20"/>
      <c r="M100" s="6"/>
      <c r="N100" s="28"/>
      <c r="O100" s="264"/>
      <c r="P100" s="264"/>
      <c r="Q100" s="264"/>
      <c r="R100" s="266"/>
    </row>
    <row r="101" spans="1:18" s="91" customFormat="1" ht="48" customHeight="1">
      <c r="A101" s="266"/>
      <c r="B101" s="745" t="str">
        <f>IF('Język - Language'!$B$30="Polski","Serwisy Premium","Premium Sites")</f>
        <v>Serwisy Premium</v>
      </c>
      <c r="C101" s="746"/>
      <c r="D101" s="745" t="s">
        <v>13</v>
      </c>
      <c r="E101" s="793"/>
      <c r="F101" s="163" t="str">
        <f>IF('Język - Language'!$B$30="Polski","łączny cap3xuu / dzień","cap3xuu (total 3 page views / day)")</f>
        <v>łączny cap3xuu / dzień</v>
      </c>
      <c r="G101" s="749" t="str">
        <f>IF('Język - Language'!$B$30="Polski",CONCATENATE("225 000 PLN dzień powszedni",CHAR(10),CHAR(10),"180 000 PLN dzień weekendowy"),CONCATENATE("225 000 PLN - workday",CHAR(10),CHAR(10),"180 000 PLN - weekend"))</f>
        <v>225 000 PLN dzień powszedni
180 000 PLN dzień weekendowy</v>
      </c>
      <c r="H101" s="750"/>
      <c r="I101" s="749" t="str">
        <f>IF('Język - Language'!$B$30="Polski",CONCATENATE("275 000 PLN dzień powszedni",CHAR(10),CHAR(10),"225 000 PLN dzień weekendowy"),CONCATENATE("275 000 PLN - workday",CHAR(10),CHAR(10),"225 000 PLN - weekend"))</f>
        <v>275 000 PLN dzień powszedni
225 000 PLN dzień weekendowy</v>
      </c>
      <c r="J101" s="750"/>
      <c r="K101" s="266"/>
      <c r="L101" s="19"/>
      <c r="M101" s="6"/>
      <c r="N101" s="28"/>
      <c r="O101" s="264"/>
      <c r="P101" s="264"/>
      <c r="Q101" s="264"/>
      <c r="R101" s="266"/>
    </row>
    <row r="102" spans="1:18" s="63" customFormat="1" ht="24.95" customHeight="1">
      <c r="A102" s="266"/>
      <c r="B102" s="725" t="str">
        <f>IF('Język - Language'!$B$30="Polski","Biznes","Business")</f>
        <v>Biznes</v>
      </c>
      <c r="C102" s="726"/>
      <c r="D102" s="725" t="s">
        <v>306</v>
      </c>
      <c r="E102" s="726"/>
      <c r="F102" s="309" t="str">
        <f>IF('Język - Language'!$B$30="Polski","łączny cap3xuu / dzień","cap3xuu (total 3 page views / day)")</f>
        <v>łączny cap3xuu / dzień</v>
      </c>
      <c r="G102" s="729">
        <v>180000</v>
      </c>
      <c r="H102" s="730"/>
      <c r="I102" s="729">
        <v>240000</v>
      </c>
      <c r="J102" s="730"/>
      <c r="K102" s="266"/>
      <c r="L102" s="19"/>
      <c r="M102" s="6"/>
      <c r="N102" s="28"/>
      <c r="O102" s="264"/>
      <c r="P102" s="264"/>
      <c r="Q102" s="264"/>
      <c r="R102" s="266"/>
    </row>
    <row r="103" spans="1:18" s="63" customFormat="1" ht="24.95" customHeight="1">
      <c r="B103" s="725" t="str">
        <f>IF('Język - Language'!$B$30="Polski","Wiadomości","News")</f>
        <v>Wiadomości</v>
      </c>
      <c r="C103" s="726"/>
      <c r="D103" s="725" t="s">
        <v>14</v>
      </c>
      <c r="E103" s="726"/>
      <c r="F103" s="254" t="str">
        <f>IF('Język - Language'!$B$30="Polski","łączny cap3xuu / dzień","cap3xuu (total 3 page views / day)")</f>
        <v>łączny cap3xuu / dzień</v>
      </c>
      <c r="G103" s="729">
        <v>160000</v>
      </c>
      <c r="H103" s="730"/>
      <c r="I103" s="729">
        <v>210000</v>
      </c>
      <c r="J103" s="730"/>
      <c r="K103" s="266"/>
      <c r="L103" s="19"/>
      <c r="M103" s="6"/>
      <c r="N103" s="28"/>
      <c r="O103" s="264"/>
      <c r="P103" s="264"/>
    </row>
    <row r="104" spans="1:18" s="63" customFormat="1" ht="24.95" customHeight="1">
      <c r="B104" s="725" t="str">
        <f>IF('Język - Language'!$B$30="Polski","Motoryzacja","Moto")</f>
        <v>Motoryzacja</v>
      </c>
      <c r="C104" s="726"/>
      <c r="D104" s="725" t="s">
        <v>304</v>
      </c>
      <c r="E104" s="732"/>
      <c r="F104" s="164" t="str">
        <f>IF('Język - Language'!$B$30="Polski","łączny cap3xuu / dzień","cap3xuu (total 3 page views / day)")</f>
        <v>łączny cap3xuu / dzień</v>
      </c>
      <c r="G104" s="729">
        <v>35000</v>
      </c>
      <c r="H104" s="730"/>
      <c r="I104" s="729">
        <v>45000</v>
      </c>
      <c r="J104" s="730"/>
      <c r="K104" s="266"/>
      <c r="L104" s="19"/>
      <c r="M104" s="6"/>
      <c r="N104" s="28"/>
      <c r="O104" s="264"/>
      <c r="P104" s="264"/>
    </row>
    <row r="105" spans="1:18" s="227" customFormat="1" ht="24.95" customHeight="1">
      <c r="B105" s="725" t="s">
        <v>15</v>
      </c>
      <c r="C105" s="726"/>
      <c r="D105" s="725" t="s">
        <v>16</v>
      </c>
      <c r="E105" s="726"/>
      <c r="F105" s="164" t="str">
        <f>IF('Język - Language'!$B$30="Polski","łączny cap3xuu / dzień","cap3xuu (total 3 page views / day)")</f>
        <v>łączny cap3xuu / dzień</v>
      </c>
      <c r="G105" s="729">
        <v>50000</v>
      </c>
      <c r="H105" s="730"/>
      <c r="I105" s="729">
        <v>80000</v>
      </c>
      <c r="J105" s="730"/>
      <c r="K105" s="266"/>
      <c r="L105" s="19"/>
      <c r="M105" s="6"/>
      <c r="N105" s="28"/>
      <c r="O105" s="264"/>
      <c r="P105" s="264"/>
    </row>
    <row r="106" spans="1:18" s="63" customFormat="1" ht="24.95" customHeight="1">
      <c r="B106" s="725" t="str">
        <f>IF('Język - Language'!$B$30="Polski","Kobieta","Woman")</f>
        <v>Kobieta</v>
      </c>
      <c r="C106" s="726"/>
      <c r="D106" s="725" t="s">
        <v>17</v>
      </c>
      <c r="E106" s="732"/>
      <c r="F106" s="164" t="str">
        <f>IF('Język - Language'!$B$30="Polski","łączny cap3xuu / dzień","cap3xuu (total 3 page views / day)")</f>
        <v>łączny cap3xuu / dzień</v>
      </c>
      <c r="G106" s="729">
        <v>70000</v>
      </c>
      <c r="H106" s="730"/>
      <c r="I106" s="729">
        <v>93000</v>
      </c>
      <c r="J106" s="730"/>
      <c r="K106" s="266"/>
      <c r="L106" s="19"/>
      <c r="M106" s="6"/>
      <c r="N106" s="28"/>
      <c r="O106" s="29"/>
      <c r="P106" s="5"/>
    </row>
    <row r="107" spans="1:18" s="121" customFormat="1" ht="24.95" customHeight="1">
      <c r="B107" s="725" t="str">
        <f>IF('Język - Language'!$B$30="Polski","Zdrowie ","Health")</f>
        <v xml:space="preserve">Zdrowie </v>
      </c>
      <c r="C107" s="726"/>
      <c r="D107" s="725" t="s">
        <v>18</v>
      </c>
      <c r="E107" s="732"/>
      <c r="F107" s="164" t="str">
        <f>IF('Język - Language'!$B$30="Polski","łączny cap3xuu / dzień","cap3xuu (total 3 page views / day)")</f>
        <v>łączny cap3xuu / dzień</v>
      </c>
      <c r="G107" s="729">
        <v>150000</v>
      </c>
      <c r="H107" s="730"/>
      <c r="I107" s="729">
        <v>195000</v>
      </c>
      <c r="J107" s="730"/>
      <c r="K107" s="266"/>
      <c r="L107" s="19"/>
      <c r="M107" s="6"/>
      <c r="N107" s="28"/>
      <c r="O107" s="29"/>
      <c r="P107" s="5"/>
    </row>
    <row r="108" spans="1:18" s="227" customFormat="1" ht="24.95" customHeight="1">
      <c r="B108" s="725" t="s">
        <v>20</v>
      </c>
      <c r="C108" s="726"/>
      <c r="D108" s="725" t="s">
        <v>21</v>
      </c>
      <c r="E108" s="732"/>
      <c r="F108" s="164" t="str">
        <f>IF('Język - Language'!$B$30="Polski","łączny cap3xuu / dzień","cap3xuu (total 3 page views / day)")</f>
        <v>łączny cap3xuu / dzień</v>
      </c>
      <c r="G108" s="729">
        <v>115000</v>
      </c>
      <c r="H108" s="730"/>
      <c r="I108" s="729">
        <v>150000</v>
      </c>
      <c r="J108" s="730"/>
      <c r="K108" s="266"/>
      <c r="L108" s="19"/>
      <c r="M108" s="6"/>
      <c r="N108" s="28"/>
      <c r="O108" s="264"/>
      <c r="P108" s="264"/>
    </row>
    <row r="109" spans="1:18" s="63" customFormat="1" ht="24.95" customHeight="1">
      <c r="B109" s="727" t="str">
        <f>IF('Język - Language'!$B$30="Polski","Turystyka","Travel")</f>
        <v>Turystyka</v>
      </c>
      <c r="C109" s="731"/>
      <c r="D109" s="727" t="s">
        <v>22</v>
      </c>
      <c r="E109" s="728"/>
      <c r="F109" s="165" t="str">
        <f>IF('Język - Language'!$B$30="Polski","łączny cap3xuu / dzień","cap3xuu (total 3 page views / day)")</f>
        <v>łączny cap3xuu / dzień</v>
      </c>
      <c r="G109" s="733">
        <v>20000</v>
      </c>
      <c r="H109" s="734"/>
      <c r="I109" s="733">
        <v>25000</v>
      </c>
      <c r="J109" s="734"/>
      <c r="K109" s="266"/>
      <c r="L109" s="19"/>
      <c r="M109" s="76"/>
      <c r="N109" s="264"/>
      <c r="O109" s="264"/>
      <c r="P109" s="264"/>
    </row>
    <row r="110" spans="1:18">
      <c r="B110" s="153" t="str">
        <f>IF('Język - Language'!$B$30="Polski","¹ emisja z wyłączeniem SG Pudelek","¹ emission without HP Pudelek")</f>
        <v>¹ emisja z wyłączeniem SG Pudelek</v>
      </c>
      <c r="C110" s="152"/>
      <c r="D110" s="152"/>
      <c r="E110" s="152"/>
      <c r="F110" s="152"/>
      <c r="G110" s="152"/>
      <c r="H110" s="152"/>
      <c r="I110" s="152"/>
      <c r="J110" s="158"/>
      <c r="K110" s="266"/>
      <c r="L110" s="266"/>
      <c r="M110" s="266"/>
      <c r="N110" s="266"/>
      <c r="O110" s="266"/>
      <c r="P110" s="266"/>
    </row>
    <row r="111" spans="1:18" s="266" customFormat="1">
      <c r="B111" s="152" t="str">
        <f>IF('Język - Language'!$B$30="Polski","² wymiary tapety w zależności do serwisu mogą się różnić","² Wallpaper dimensions may vary depending on the site")</f>
        <v>² wymiary tapety w zależności do serwisu mogą się różnić</v>
      </c>
      <c r="C111" s="152"/>
      <c r="D111" s="152"/>
      <c r="E111" s="152"/>
      <c r="F111" s="152"/>
      <c r="G111" s="152"/>
      <c r="H111" s="152"/>
      <c r="I111" s="152"/>
      <c r="J111" s="155"/>
    </row>
    <row r="112" spans="1:18">
      <c r="B112" s="152" t="str">
        <f>IF('Język - Language'!$B$30="Polski","³ format dostępny na wybranych serwisach mobile: Pudelek, WP Money, WP Sportowefakty, o2, Serwisy Premium WPM, abcZdrowie i Parenting (tylko strony artykułowe)","³ available on the selected mobile services")</f>
        <v>³ format dostępny na wybranych serwisach mobile: Pudelek, WP Money, WP Sportowefakty, o2, Serwisy Premium WPM, abcZdrowie i Parenting (tylko strony artykułowe)</v>
      </c>
      <c r="C112" s="156"/>
      <c r="D112" s="156"/>
      <c r="E112" s="156"/>
      <c r="F112" s="156"/>
      <c r="G112" s="156"/>
      <c r="H112" s="156"/>
      <c r="I112" s="156"/>
      <c r="J112" s="159"/>
      <c r="K112" s="266"/>
      <c r="L112" s="266"/>
      <c r="M112" s="266"/>
      <c r="N112" s="266"/>
      <c r="O112" s="266"/>
      <c r="P112" s="266"/>
    </row>
  </sheetData>
  <mergeCells count="164">
    <mergeCell ref="F22:H22"/>
    <mergeCell ref="C15:E15"/>
    <mergeCell ref="C24:E24"/>
    <mergeCell ref="C12:E12"/>
    <mergeCell ref="C19:E19"/>
    <mergeCell ref="B10:B17"/>
    <mergeCell ref="C18:E18"/>
    <mergeCell ref="C14:E14"/>
    <mergeCell ref="B18:B21"/>
    <mergeCell ref="C23:E23"/>
    <mergeCell ref="F13:H13"/>
    <mergeCell ref="F14:H14"/>
    <mergeCell ref="G1:J3"/>
    <mergeCell ref="C7:E8"/>
    <mergeCell ref="F7:H8"/>
    <mergeCell ref="C10:E10"/>
    <mergeCell ref="F28:H28"/>
    <mergeCell ref="F27:H27"/>
    <mergeCell ref="F19:H19"/>
    <mergeCell ref="C17:J17"/>
    <mergeCell ref="C22:E22"/>
    <mergeCell ref="C13:E13"/>
    <mergeCell ref="I7:J7"/>
    <mergeCell ref="F9:H9"/>
    <mergeCell ref="C9:E9"/>
    <mergeCell ref="F20:H20"/>
    <mergeCell ref="F12:H12"/>
    <mergeCell ref="F10:H10"/>
    <mergeCell ref="F11:H11"/>
    <mergeCell ref="C20:E20"/>
    <mergeCell ref="F15:H15"/>
    <mergeCell ref="F16:H16"/>
    <mergeCell ref="C28:E28"/>
    <mergeCell ref="C16:E16"/>
    <mergeCell ref="C11:E11"/>
    <mergeCell ref="F18:H18"/>
    <mergeCell ref="I61:I62"/>
    <mergeCell ref="F65:H65"/>
    <mergeCell ref="F61:H62"/>
    <mergeCell ref="F64:H64"/>
    <mergeCell ref="J35:J36"/>
    <mergeCell ref="I35:I36"/>
    <mergeCell ref="F45:H45"/>
    <mergeCell ref="F43:H43"/>
    <mergeCell ref="F38:H38"/>
    <mergeCell ref="F40:H40"/>
    <mergeCell ref="F35:H36"/>
    <mergeCell ref="F37:H37"/>
    <mergeCell ref="F44:H44"/>
    <mergeCell ref="F63:H63"/>
    <mergeCell ref="I63:I66"/>
    <mergeCell ref="F39:H39"/>
    <mergeCell ref="F41:H42"/>
    <mergeCell ref="J41:J42"/>
    <mergeCell ref="I37:I40"/>
    <mergeCell ref="I43:I46"/>
    <mergeCell ref="I41:I42"/>
    <mergeCell ref="B71:E71"/>
    <mergeCell ref="F73:H73"/>
    <mergeCell ref="F74:H74"/>
    <mergeCell ref="F71:H71"/>
    <mergeCell ref="B73:E73"/>
    <mergeCell ref="B45:E45"/>
    <mergeCell ref="D101:E101"/>
    <mergeCell ref="C21:J21"/>
    <mergeCell ref="B82:E83"/>
    <mergeCell ref="F92:H92"/>
    <mergeCell ref="B95:E96"/>
    <mergeCell ref="B93:E94"/>
    <mergeCell ref="F93:H94"/>
    <mergeCell ref="F95:H96"/>
    <mergeCell ref="F81:H81"/>
    <mergeCell ref="F66:H66"/>
    <mergeCell ref="B40:E40"/>
    <mergeCell ref="F24:H24"/>
    <mergeCell ref="F82:H83"/>
    <mergeCell ref="C25:E25"/>
    <mergeCell ref="C26:E26"/>
    <mergeCell ref="F23:H23"/>
    <mergeCell ref="F76:H76"/>
    <mergeCell ref="J61:J62"/>
    <mergeCell ref="B66:E66"/>
    <mergeCell ref="F46:H46"/>
    <mergeCell ref="B22:B28"/>
    <mergeCell ref="B37:E37"/>
    <mergeCell ref="B43:E43"/>
    <mergeCell ref="F25:H25"/>
    <mergeCell ref="B61:E62"/>
    <mergeCell ref="B64:E64"/>
    <mergeCell ref="B46:E46"/>
    <mergeCell ref="B65:E65"/>
    <mergeCell ref="B63:E63"/>
    <mergeCell ref="B55:E55"/>
    <mergeCell ref="F55:H55"/>
    <mergeCell ref="B57:E57"/>
    <mergeCell ref="F57:H57"/>
    <mergeCell ref="B56:E56"/>
    <mergeCell ref="F56:H56"/>
    <mergeCell ref="B39:E39"/>
    <mergeCell ref="B41:E42"/>
    <mergeCell ref="B44:E44"/>
    <mergeCell ref="C27:E27"/>
    <mergeCell ref="B35:E36"/>
    <mergeCell ref="B38:E38"/>
    <mergeCell ref="F26:H26"/>
    <mergeCell ref="I103:J103"/>
    <mergeCell ref="D104:E104"/>
    <mergeCell ref="I102:J102"/>
    <mergeCell ref="F86:H86"/>
    <mergeCell ref="F87:H87"/>
    <mergeCell ref="I104:J104"/>
    <mergeCell ref="G102:H102"/>
    <mergeCell ref="G103:H103"/>
    <mergeCell ref="G104:H104"/>
    <mergeCell ref="B92:E92"/>
    <mergeCell ref="G101:H101"/>
    <mergeCell ref="B85:E85"/>
    <mergeCell ref="C99:C100"/>
    <mergeCell ref="B86:E86"/>
    <mergeCell ref="B87:E87"/>
    <mergeCell ref="B105:C105"/>
    <mergeCell ref="D105:E105"/>
    <mergeCell ref="B104:C104"/>
    <mergeCell ref="B103:C103"/>
    <mergeCell ref="B102:C102"/>
    <mergeCell ref="D102:E102"/>
    <mergeCell ref="G105:H105"/>
    <mergeCell ref="I105:J105"/>
    <mergeCell ref="D108:E108"/>
    <mergeCell ref="G108:H108"/>
    <mergeCell ref="I72:I76"/>
    <mergeCell ref="F99:F100"/>
    <mergeCell ref="B75:E75"/>
    <mergeCell ref="B81:E81"/>
    <mergeCell ref="B76:E76"/>
    <mergeCell ref="B84:E84"/>
    <mergeCell ref="F75:H75"/>
    <mergeCell ref="D99:E100"/>
    <mergeCell ref="D103:E103"/>
    <mergeCell ref="I99:J99"/>
    <mergeCell ref="B101:C101"/>
    <mergeCell ref="I100:J100"/>
    <mergeCell ref="I101:J101"/>
    <mergeCell ref="G100:H100"/>
    <mergeCell ref="F85:H85"/>
    <mergeCell ref="F84:H84"/>
    <mergeCell ref="F72:H72"/>
    <mergeCell ref="B72:E72"/>
    <mergeCell ref="G99:H99"/>
    <mergeCell ref="B74:E74"/>
    <mergeCell ref="B106:C106"/>
    <mergeCell ref="D109:E109"/>
    <mergeCell ref="G107:H107"/>
    <mergeCell ref="I106:J106"/>
    <mergeCell ref="B109:C109"/>
    <mergeCell ref="B107:C107"/>
    <mergeCell ref="B108:C108"/>
    <mergeCell ref="D107:E107"/>
    <mergeCell ref="D106:E106"/>
    <mergeCell ref="G109:H109"/>
    <mergeCell ref="I107:J107"/>
    <mergeCell ref="G106:H106"/>
    <mergeCell ref="I109:J109"/>
    <mergeCell ref="I108:J108"/>
  </mergeCells>
  <pageMargins left="0.7" right="0.7" top="0.75" bottom="0.75" header="0.3" footer="0.3"/>
  <pageSetup paperSize="256" orientation="landscape" r:id="rId1"/>
  <ignoredErrors>
    <ignoredError sqref="F9 I94:I95" 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T70"/>
  <sheetViews>
    <sheetView zoomScaleNormal="100" workbookViewId="0">
      <pane ySplit="4" topLeftCell="A5" activePane="bottomLeft" state="frozen"/>
      <selection pane="bottomLeft"/>
    </sheetView>
  </sheetViews>
  <sheetFormatPr defaultColWidth="9.140625" defaultRowHeight="15"/>
  <cols>
    <col min="1" max="2" width="2.85546875" style="267" customWidth="1"/>
    <col min="3" max="3" width="15.7109375" style="267" customWidth="1"/>
    <col min="4" max="4" width="23.5703125" style="267" customWidth="1"/>
    <col min="5" max="5" width="21.42578125" style="267" customWidth="1"/>
    <col min="6" max="13" width="10.7109375" style="267" customWidth="1"/>
    <col min="14" max="14" width="21.42578125" style="267" customWidth="1"/>
    <col min="15" max="17" width="10.7109375" style="267" customWidth="1"/>
    <col min="18" max="18" width="22.85546875" style="267" customWidth="1"/>
    <col min="19" max="19" width="14.28515625" style="267" customWidth="1"/>
    <col min="20" max="16384" width="9.140625" style="267"/>
  </cols>
  <sheetData>
    <row r="1" spans="1:20" ht="12.75" customHeight="1">
      <c r="A1" s="267" t="s">
        <v>162</v>
      </c>
      <c r="F1" s="268"/>
      <c r="G1" s="268"/>
      <c r="I1" s="708"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J1" s="708"/>
      <c r="K1" s="708"/>
      <c r="L1" s="708"/>
      <c r="M1" s="708"/>
      <c r="N1" s="708"/>
      <c r="O1" s="268"/>
      <c r="P1" s="268"/>
      <c r="Q1" s="268"/>
      <c r="R1" s="268"/>
    </row>
    <row r="2" spans="1:20" ht="12.75" customHeight="1">
      <c r="E2" s="268"/>
      <c r="F2" s="268"/>
      <c r="G2" s="268"/>
      <c r="H2" s="268"/>
      <c r="I2" s="708"/>
      <c r="J2" s="708"/>
      <c r="K2" s="708"/>
      <c r="L2" s="708"/>
      <c r="M2" s="708"/>
      <c r="N2" s="708"/>
      <c r="O2" s="268"/>
      <c r="P2" s="268"/>
      <c r="Q2" s="268"/>
      <c r="R2" s="268"/>
    </row>
    <row r="3" spans="1:20" ht="12.75" customHeight="1">
      <c r="E3" s="268"/>
      <c r="F3" s="268"/>
      <c r="G3" s="268"/>
      <c r="H3" s="268"/>
      <c r="I3" s="708"/>
      <c r="J3" s="708"/>
      <c r="K3" s="708"/>
      <c r="L3" s="708"/>
      <c r="M3" s="708"/>
      <c r="N3" s="708"/>
      <c r="O3" s="268"/>
      <c r="P3" s="268"/>
      <c r="Q3" s="268"/>
      <c r="R3" s="268"/>
    </row>
    <row r="4" spans="1:20" s="278" customFormat="1" ht="12.75" customHeight="1">
      <c r="C4" s="279" t="str">
        <f>IF('Język - Language'!$B$30="Polski","            Reklama mobilna","            Mobile Advertising")</f>
        <v xml:space="preserve">            Reklama mobilna</v>
      </c>
      <c r="D4" s="279"/>
      <c r="R4" s="263" t="str">
        <f>IF('Język - Language'!$B$30="Polski","PL","EN")</f>
        <v>PL</v>
      </c>
    </row>
    <row r="5" spans="1:20" ht="12.75" customHeight="1"/>
    <row r="6" spans="1:20" ht="12.75" customHeight="1"/>
    <row r="7" spans="1:20" ht="12.75" customHeight="1">
      <c r="C7" s="286" t="str">
        <f>IF('Język - Language'!$B$30="Polski","DNIÓWKI","DAILY EMISSION")</f>
        <v>DNIÓWKI</v>
      </c>
    </row>
    <row r="8" spans="1:20" ht="12.75" customHeight="1">
      <c r="C8" s="868" t="str">
        <f>IF('Język - Language'!$B$30="Polski","MIEJSCE EMISJI","PLACE OF EMISSION")</f>
        <v>MIEJSCE EMISJI</v>
      </c>
      <c r="D8" s="868"/>
      <c r="E8" s="871" t="s">
        <v>188</v>
      </c>
      <c r="F8" s="871" t="s">
        <v>190</v>
      </c>
      <c r="G8" s="871"/>
      <c r="H8" s="871" t="s">
        <v>190</v>
      </c>
      <c r="I8" s="871"/>
      <c r="J8" s="871" t="s">
        <v>231</v>
      </c>
      <c r="K8" s="871"/>
      <c r="L8" s="871" t="s">
        <v>274</v>
      </c>
      <c r="M8" s="871"/>
      <c r="N8" s="463" t="s">
        <v>186</v>
      </c>
      <c r="O8" s="357"/>
      <c r="P8" s="357"/>
      <c r="Q8" s="357"/>
    </row>
    <row r="9" spans="1:20" ht="12.75" customHeight="1">
      <c r="C9" s="868"/>
      <c r="D9" s="868"/>
      <c r="E9" s="871"/>
      <c r="F9" s="872" t="s">
        <v>184</v>
      </c>
      <c r="G9" s="872"/>
      <c r="H9" s="872" t="s">
        <v>185</v>
      </c>
      <c r="I9" s="872"/>
      <c r="J9" s="872" t="s">
        <v>236</v>
      </c>
      <c r="K9" s="872"/>
      <c r="L9" s="872" t="s">
        <v>236</v>
      </c>
      <c r="M9" s="872"/>
      <c r="N9" s="467" t="s">
        <v>187</v>
      </c>
      <c r="O9" s="357"/>
      <c r="P9" s="357"/>
      <c r="Q9" s="357"/>
    </row>
    <row r="10" spans="1:20" ht="12.75" customHeight="1">
      <c r="C10" s="868"/>
      <c r="D10" s="868"/>
      <c r="E10" s="448" t="s">
        <v>178</v>
      </c>
      <c r="F10" s="871" t="s">
        <v>183</v>
      </c>
      <c r="G10" s="871"/>
      <c r="H10" s="871" t="s">
        <v>177</v>
      </c>
      <c r="I10" s="871"/>
      <c r="J10" s="871" t="s">
        <v>237</v>
      </c>
      <c r="K10" s="871"/>
      <c r="L10" s="871" t="s">
        <v>237</v>
      </c>
      <c r="M10" s="871"/>
      <c r="N10" s="454" t="s">
        <v>161</v>
      </c>
      <c r="O10" s="358"/>
      <c r="P10" s="358"/>
      <c r="Q10" s="358"/>
    </row>
    <row r="11" spans="1:20" ht="12.75" customHeight="1">
      <c r="B11" s="280"/>
      <c r="C11" s="869" t="str">
        <f>'Desktop Flat Fee'!C9</f>
        <v>WP</v>
      </c>
      <c r="D11" s="356" t="str">
        <f>IF('Język - Language'!$B$30="Polski","styczeń-wrzesień","Jan-Sep")</f>
        <v>styczeń-wrzesień</v>
      </c>
      <c r="E11" s="456">
        <v>200000</v>
      </c>
      <c r="F11" s="856">
        <v>180000</v>
      </c>
      <c r="G11" s="857"/>
      <c r="H11" s="856">
        <v>80000</v>
      </c>
      <c r="I11" s="857"/>
      <c r="J11" s="856" t="s">
        <v>47</v>
      </c>
      <c r="K11" s="857"/>
      <c r="L11" s="856" t="s">
        <v>47</v>
      </c>
      <c r="M11" s="857"/>
      <c r="N11" s="456">
        <v>180000</v>
      </c>
      <c r="O11" s="398"/>
      <c r="P11" s="398"/>
      <c r="Q11" s="398"/>
    </row>
    <row r="12" spans="1:20" ht="12.75" customHeight="1">
      <c r="B12" s="16"/>
      <c r="C12" s="870"/>
      <c r="D12" s="303" t="str">
        <f>IF('Język - Language'!$B$30="Polski","październik-grudzień","Oct-Dec")</f>
        <v>październik-grudzień</v>
      </c>
      <c r="E12" s="462">
        <v>230000</v>
      </c>
      <c r="F12" s="846">
        <v>210000</v>
      </c>
      <c r="G12" s="847"/>
      <c r="H12" s="846">
        <v>110000</v>
      </c>
      <c r="I12" s="847"/>
      <c r="J12" s="846"/>
      <c r="K12" s="847"/>
      <c r="L12" s="846"/>
      <c r="M12" s="847"/>
      <c r="N12" s="462">
        <v>220000</v>
      </c>
      <c r="O12" s="363"/>
      <c r="P12" s="363"/>
      <c r="Q12" s="363"/>
    </row>
    <row r="13" spans="1:20" ht="25.5" customHeight="1">
      <c r="B13" s="280"/>
      <c r="C13" s="870" t="s">
        <v>25</v>
      </c>
      <c r="D13" s="887"/>
      <c r="E13" s="452">
        <v>120000</v>
      </c>
      <c r="F13" s="865">
        <v>70000</v>
      </c>
      <c r="G13" s="877"/>
      <c r="H13" s="865">
        <v>40000</v>
      </c>
      <c r="I13" s="877"/>
      <c r="J13" s="865" t="s">
        <v>47</v>
      </c>
      <c r="K13" s="877"/>
      <c r="L13" s="865" t="s">
        <v>47</v>
      </c>
      <c r="M13" s="877"/>
      <c r="N13" s="459">
        <v>150000</v>
      </c>
      <c r="O13" s="458"/>
      <c r="P13" s="884"/>
      <c r="Q13" s="884"/>
      <c r="R13" s="884"/>
      <c r="S13" s="884"/>
    </row>
    <row r="14" spans="1:20" ht="25.5" customHeight="1">
      <c r="B14" s="280"/>
      <c r="C14" s="880" t="s">
        <v>244</v>
      </c>
      <c r="D14" s="881"/>
      <c r="E14" s="455">
        <v>48000</v>
      </c>
      <c r="F14" s="865" t="s">
        <v>47</v>
      </c>
      <c r="G14" s="877"/>
      <c r="H14" s="865" t="s">
        <v>47</v>
      </c>
      <c r="I14" s="877"/>
      <c r="J14" s="865" t="s">
        <v>47</v>
      </c>
      <c r="K14" s="877"/>
      <c r="L14" s="865" t="s">
        <v>47</v>
      </c>
      <c r="M14" s="877"/>
      <c r="N14" s="461">
        <v>85000</v>
      </c>
      <c r="O14" s="458"/>
      <c r="P14" s="884"/>
      <c r="Q14" s="884"/>
      <c r="R14" s="884"/>
      <c r="S14" s="884"/>
    </row>
    <row r="15" spans="1:20" ht="12.75" customHeight="1">
      <c r="B15" s="280"/>
      <c r="C15" s="869" t="s">
        <v>34</v>
      </c>
      <c r="D15" s="356" t="str">
        <f>IF('Język - Language'!$B$30="Polski","styczeń-wrzesień","Jan-Sep")</f>
        <v>styczeń-wrzesień</v>
      </c>
      <c r="E15" s="886">
        <v>150000</v>
      </c>
      <c r="F15" s="894">
        <v>80000</v>
      </c>
      <c r="G15" s="895"/>
      <c r="H15" s="894">
        <v>40000</v>
      </c>
      <c r="I15" s="895"/>
      <c r="J15" s="894" t="s">
        <v>47</v>
      </c>
      <c r="K15" s="895"/>
      <c r="L15" s="894" t="s">
        <v>47</v>
      </c>
      <c r="M15" s="895"/>
      <c r="N15" s="886">
        <v>185000</v>
      </c>
      <c r="O15" s="458"/>
      <c r="P15" s="884"/>
      <c r="Q15" s="884"/>
      <c r="R15" s="884"/>
      <c r="S15" s="884"/>
      <c r="T15" s="16"/>
    </row>
    <row r="16" spans="1:20" ht="12.75" customHeight="1">
      <c r="B16" s="280"/>
      <c r="C16" s="870"/>
      <c r="D16" s="303" t="str">
        <f>IF('Język - Language'!$B$30="Polski","październik-grudzień","Oct-Dec")</f>
        <v>październik-grudzień</v>
      </c>
      <c r="E16" s="858"/>
      <c r="F16" s="846">
        <v>100000</v>
      </c>
      <c r="G16" s="847"/>
      <c r="H16" s="846">
        <v>50000</v>
      </c>
      <c r="I16" s="847"/>
      <c r="J16" s="846"/>
      <c r="K16" s="847"/>
      <c r="L16" s="846"/>
      <c r="M16" s="847"/>
      <c r="N16" s="858"/>
      <c r="O16" s="458"/>
      <c r="P16" s="458"/>
      <c r="Q16" s="458"/>
      <c r="R16" s="458"/>
      <c r="S16" s="458"/>
      <c r="T16" s="16"/>
    </row>
    <row r="17" spans="2:19" ht="25.5" customHeight="1">
      <c r="B17" s="280"/>
      <c r="C17" s="870" t="s">
        <v>39</v>
      </c>
      <c r="D17" s="887"/>
      <c r="E17" s="455">
        <v>35000</v>
      </c>
      <c r="F17" s="865" t="s">
        <v>47</v>
      </c>
      <c r="G17" s="877"/>
      <c r="H17" s="865" t="s">
        <v>47</v>
      </c>
      <c r="I17" s="877"/>
      <c r="J17" s="865" t="s">
        <v>47</v>
      </c>
      <c r="K17" s="877"/>
      <c r="L17" s="865" t="s">
        <v>47</v>
      </c>
      <c r="M17" s="877"/>
      <c r="N17" s="459" t="s">
        <v>47</v>
      </c>
      <c r="O17" s="458"/>
      <c r="P17" s="884"/>
      <c r="Q17" s="884"/>
      <c r="R17" s="884"/>
      <c r="S17" s="884"/>
    </row>
    <row r="18" spans="2:19" s="479" customFormat="1" ht="25.5" customHeight="1">
      <c r="B18" s="280"/>
      <c r="C18" s="880" t="s">
        <v>264</v>
      </c>
      <c r="D18" s="881"/>
      <c r="E18" s="632" t="s">
        <v>47</v>
      </c>
      <c r="F18" s="865">
        <v>65000</v>
      </c>
      <c r="G18" s="877"/>
      <c r="H18" s="865" t="s">
        <v>47</v>
      </c>
      <c r="I18" s="877"/>
      <c r="J18" s="865" t="s">
        <v>47</v>
      </c>
      <c r="K18" s="877"/>
      <c r="L18" s="865" t="s">
        <v>47</v>
      </c>
      <c r="M18" s="877"/>
      <c r="N18" s="633" t="s">
        <v>47</v>
      </c>
      <c r="O18" s="634"/>
      <c r="P18" s="634"/>
      <c r="Q18" s="634"/>
      <c r="R18" s="634"/>
      <c r="S18" s="634"/>
    </row>
    <row r="19" spans="2:19" s="479" customFormat="1" ht="25.5" customHeight="1">
      <c r="B19" s="280"/>
      <c r="C19" s="880" t="s">
        <v>235</v>
      </c>
      <c r="D19" s="881"/>
      <c r="E19" s="579">
        <v>50000</v>
      </c>
      <c r="F19" s="865" t="s">
        <v>47</v>
      </c>
      <c r="G19" s="877"/>
      <c r="H19" s="865" t="s">
        <v>47</v>
      </c>
      <c r="I19" s="877"/>
      <c r="J19" s="865">
        <v>75000</v>
      </c>
      <c r="K19" s="877"/>
      <c r="L19" s="865">
        <v>95000</v>
      </c>
      <c r="M19" s="877"/>
      <c r="N19" s="461" t="s">
        <v>47</v>
      </c>
      <c r="O19" s="577"/>
      <c r="P19" s="577"/>
      <c r="Q19" s="577"/>
      <c r="R19" s="577"/>
      <c r="S19" s="577"/>
    </row>
    <row r="20" spans="2:19" ht="25.5" customHeight="1">
      <c r="B20" s="280"/>
      <c r="C20" s="875" t="s">
        <v>114</v>
      </c>
      <c r="D20" s="885"/>
      <c r="E20" s="453">
        <v>165000</v>
      </c>
      <c r="F20" s="848" t="s">
        <v>47</v>
      </c>
      <c r="G20" s="849"/>
      <c r="H20" s="848" t="s">
        <v>47</v>
      </c>
      <c r="I20" s="849"/>
      <c r="J20" s="848" t="s">
        <v>47</v>
      </c>
      <c r="K20" s="849"/>
      <c r="L20" s="848" t="s">
        <v>47</v>
      </c>
      <c r="M20" s="849"/>
      <c r="N20" s="457">
        <v>314000</v>
      </c>
      <c r="O20" s="366"/>
      <c r="P20" s="458"/>
      <c r="Q20" s="458"/>
    </row>
    <row r="21" spans="2:19" ht="12.75" customHeight="1">
      <c r="B21" s="16"/>
      <c r="C21" s="271" t="s">
        <v>214</v>
      </c>
      <c r="D21" s="273"/>
      <c r="E21" s="367"/>
      <c r="F21" s="367"/>
      <c r="G21" s="367"/>
      <c r="H21" s="367"/>
      <c r="I21" s="367"/>
      <c r="J21" s="367"/>
      <c r="K21" s="466"/>
      <c r="L21" s="458"/>
      <c r="M21" s="466"/>
      <c r="N21" s="363"/>
      <c r="O21" s="363"/>
      <c r="P21" s="363"/>
      <c r="Q21" s="363"/>
    </row>
    <row r="22" spans="2:19" ht="12.75" customHeight="1">
      <c r="B22" s="16"/>
      <c r="C22" s="271" t="s">
        <v>215</v>
      </c>
      <c r="D22" s="273"/>
      <c r="E22" s="403"/>
      <c r="F22" s="403"/>
      <c r="G22" s="466"/>
      <c r="H22" s="403"/>
      <c r="I22" s="466"/>
      <c r="J22" s="403"/>
      <c r="K22" s="466"/>
      <c r="L22" s="403"/>
      <c r="M22" s="466"/>
      <c r="N22" s="363"/>
      <c r="O22" s="363"/>
      <c r="P22" s="363"/>
      <c r="Q22" s="363"/>
    </row>
    <row r="23" spans="2:19" ht="12.75" customHeight="1">
      <c r="B23" s="16"/>
      <c r="C23" s="271" t="s">
        <v>182</v>
      </c>
      <c r="D23" s="273"/>
      <c r="E23" s="450"/>
      <c r="F23" s="450"/>
      <c r="G23" s="466"/>
      <c r="H23" s="450"/>
      <c r="I23" s="466"/>
      <c r="J23" s="450"/>
      <c r="K23" s="466"/>
      <c r="L23" s="450"/>
      <c r="M23" s="466"/>
      <c r="N23" s="363"/>
      <c r="O23" s="363"/>
      <c r="P23" s="363"/>
      <c r="Q23" s="363"/>
    </row>
    <row r="24" spans="2:19" ht="12.75" customHeight="1">
      <c r="B24" s="16"/>
      <c r="C24" s="271" t="s">
        <v>216</v>
      </c>
      <c r="D24" s="273"/>
      <c r="E24" s="458"/>
      <c r="F24" s="458"/>
      <c r="G24" s="466"/>
      <c r="H24" s="458"/>
      <c r="I24" s="466"/>
      <c r="J24" s="458"/>
      <c r="K24" s="466"/>
      <c r="L24" s="458"/>
      <c r="M24" s="466"/>
      <c r="N24" s="363"/>
      <c r="O24" s="363"/>
      <c r="P24" s="363"/>
      <c r="Q24" s="363"/>
    </row>
    <row r="25" spans="2:19" ht="12.75" customHeight="1">
      <c r="B25" s="16"/>
      <c r="C25" s="271"/>
      <c r="D25" s="273"/>
      <c r="E25" s="403"/>
      <c r="F25" s="403"/>
      <c r="G25" s="466"/>
      <c r="H25" s="403"/>
      <c r="I25" s="466"/>
      <c r="J25" s="403"/>
      <c r="K25" s="466"/>
      <c r="L25" s="403"/>
      <c r="M25" s="466"/>
      <c r="N25" s="363"/>
      <c r="O25" s="363"/>
      <c r="P25" s="363"/>
      <c r="Q25" s="363"/>
    </row>
    <row r="26" spans="2:19" ht="12.75" customHeight="1">
      <c r="B26" s="16"/>
      <c r="C26" s="285"/>
      <c r="D26" s="273"/>
      <c r="E26" s="393"/>
      <c r="F26" s="393"/>
      <c r="G26" s="466"/>
      <c r="H26" s="393"/>
      <c r="I26" s="466"/>
      <c r="J26" s="393"/>
      <c r="K26" s="466"/>
      <c r="L26" s="393"/>
      <c r="M26" s="466"/>
      <c r="N26" s="363"/>
      <c r="O26" s="363"/>
      <c r="P26" s="363"/>
      <c r="Q26" s="363"/>
    </row>
    <row r="27" spans="2:19" ht="12.75" customHeight="1">
      <c r="B27" s="16"/>
      <c r="C27" s="285" t="s">
        <v>154</v>
      </c>
      <c r="D27" s="273"/>
      <c r="E27" s="393"/>
      <c r="F27" s="393"/>
      <c r="G27" s="466"/>
      <c r="H27" s="393"/>
      <c r="I27" s="466"/>
      <c r="J27" s="393"/>
      <c r="K27" s="466"/>
      <c r="L27" s="393"/>
      <c r="M27" s="466"/>
      <c r="N27" s="363"/>
      <c r="O27" s="363"/>
      <c r="P27" s="363"/>
      <c r="Q27" s="363"/>
    </row>
    <row r="28" spans="2:19" ht="25.5" customHeight="1">
      <c r="C28" s="868" t="str">
        <f>IF('Język - Language'!$B$30="Polski","MIEJSCE EMISJI","PLACE OF EMISSION")</f>
        <v>MIEJSCE EMISJI</v>
      </c>
      <c r="D28" s="868"/>
      <c r="E28" s="905" t="s">
        <v>156</v>
      </c>
      <c r="F28" s="905"/>
      <c r="G28" s="906"/>
      <c r="H28" s="363"/>
      <c r="I28" s="363"/>
      <c r="J28" s="363"/>
      <c r="K28" s="357"/>
      <c r="L28" s="357"/>
      <c r="M28" s="357"/>
      <c r="N28" s="357"/>
    </row>
    <row r="29" spans="2:19" ht="12.75" customHeight="1">
      <c r="C29" s="868"/>
      <c r="D29" s="868"/>
      <c r="E29" s="581" t="s">
        <v>179</v>
      </c>
      <c r="F29" s="905" t="s">
        <v>180</v>
      </c>
      <c r="G29" s="906"/>
      <c r="H29" s="363"/>
      <c r="I29" s="363"/>
      <c r="J29" s="363"/>
      <c r="K29" s="358"/>
      <c r="L29" s="358"/>
      <c r="M29" s="358"/>
      <c r="N29" s="358"/>
    </row>
    <row r="30" spans="2:19" ht="12.75" customHeight="1">
      <c r="B30" s="280"/>
      <c r="C30" s="869" t="s">
        <v>24</v>
      </c>
      <c r="D30" s="356" t="s">
        <v>155</v>
      </c>
      <c r="E30" s="617">
        <v>4000</v>
      </c>
      <c r="F30" s="901">
        <v>24000</v>
      </c>
      <c r="G30" s="902"/>
      <c r="H30" s="276"/>
      <c r="I30" s="393"/>
      <c r="J30" s="466"/>
      <c r="K30" s="900"/>
      <c r="L30" s="900"/>
      <c r="M30" s="900"/>
      <c r="N30" s="900"/>
    </row>
    <row r="31" spans="2:19" ht="12.75" customHeight="1">
      <c r="B31" s="16"/>
      <c r="C31" s="869"/>
      <c r="D31" s="356" t="s">
        <v>43</v>
      </c>
      <c r="E31" s="617">
        <v>2500</v>
      </c>
      <c r="F31" s="901">
        <v>15000</v>
      </c>
      <c r="G31" s="902"/>
      <c r="H31" s="276"/>
      <c r="I31" s="393"/>
      <c r="J31" s="466"/>
      <c r="K31" s="363"/>
      <c r="L31" s="363"/>
      <c r="M31" s="363"/>
      <c r="N31" s="363"/>
    </row>
    <row r="32" spans="2:19" ht="12.75" customHeight="1">
      <c r="B32" s="16"/>
      <c r="C32" s="869"/>
      <c r="D32" s="356" t="s">
        <v>157</v>
      </c>
      <c r="E32" s="617">
        <v>2500</v>
      </c>
      <c r="F32" s="901">
        <v>15000</v>
      </c>
      <c r="G32" s="902"/>
      <c r="H32" s="276"/>
      <c r="I32" s="393"/>
      <c r="J32" s="466"/>
      <c r="K32" s="363"/>
      <c r="L32" s="363"/>
      <c r="M32" s="363"/>
      <c r="N32" s="363"/>
    </row>
    <row r="33" spans="2:17" ht="12.75" customHeight="1">
      <c r="B33" s="16"/>
      <c r="C33" s="869"/>
      <c r="D33" s="356" t="s">
        <v>158</v>
      </c>
      <c r="E33" s="617">
        <v>1500</v>
      </c>
      <c r="F33" s="901">
        <v>9000</v>
      </c>
      <c r="G33" s="902"/>
      <c r="H33" s="276"/>
      <c r="I33" s="393"/>
      <c r="J33" s="466"/>
      <c r="K33" s="363"/>
      <c r="L33" s="363"/>
      <c r="M33" s="363"/>
      <c r="N33" s="363"/>
    </row>
    <row r="34" spans="2:17" ht="12.75" customHeight="1">
      <c r="B34" s="16"/>
      <c r="C34" s="869"/>
      <c r="D34" s="356" t="s">
        <v>159</v>
      </c>
      <c r="E34" s="617">
        <v>1500</v>
      </c>
      <c r="F34" s="901">
        <v>9000</v>
      </c>
      <c r="G34" s="902"/>
      <c r="H34" s="276"/>
      <c r="I34" s="393"/>
      <c r="J34" s="466"/>
      <c r="K34" s="363"/>
      <c r="L34" s="363"/>
      <c r="M34" s="363"/>
      <c r="N34" s="363"/>
    </row>
    <row r="35" spans="2:17" ht="12.75" customHeight="1">
      <c r="B35" s="16"/>
      <c r="C35" s="875"/>
      <c r="D35" s="302" t="s">
        <v>160</v>
      </c>
      <c r="E35" s="618">
        <v>1500</v>
      </c>
      <c r="F35" s="903">
        <v>9000</v>
      </c>
      <c r="G35" s="904"/>
      <c r="H35" s="464"/>
      <c r="I35" s="466"/>
      <c r="J35" s="466"/>
      <c r="K35" s="363"/>
      <c r="L35" s="363"/>
      <c r="M35" s="363"/>
      <c r="N35" s="363"/>
    </row>
    <row r="36" spans="2:17" ht="15" customHeight="1">
      <c r="B36" s="16"/>
      <c r="C36" s="285"/>
      <c r="D36" s="273"/>
      <c r="E36" s="393"/>
      <c r="F36" s="393"/>
      <c r="G36" s="466"/>
      <c r="H36" s="393"/>
      <c r="I36" s="466"/>
      <c r="J36" s="393"/>
      <c r="K36" s="466"/>
      <c r="L36" s="393"/>
      <c r="M36" s="466"/>
      <c r="N36" s="363"/>
      <c r="O36" s="363"/>
      <c r="P36" s="363"/>
      <c r="Q36" s="363"/>
    </row>
    <row r="37" spans="2:17" ht="15" customHeight="1">
      <c r="B37" s="16"/>
      <c r="C37" s="285"/>
      <c r="D37" s="273"/>
      <c r="E37" s="399"/>
      <c r="F37" s="399"/>
      <c r="G37" s="466"/>
      <c r="H37" s="399"/>
      <c r="I37" s="466"/>
      <c r="J37" s="399"/>
      <c r="K37" s="466"/>
      <c r="L37" s="399"/>
      <c r="M37" s="466"/>
      <c r="N37" s="363"/>
      <c r="O37" s="363"/>
      <c r="P37" s="363"/>
      <c r="Q37" s="363"/>
    </row>
    <row r="38" spans="2:17" ht="12.75" customHeight="1">
      <c r="B38" s="16"/>
      <c r="C38" s="285" t="str">
        <f>IF('Język - Language'!$B$30="Polski","REKLAMA ODSŁONOWA (vCPM)","vCPM ADVERTISING")</f>
        <v>REKLAMA ODSŁONOWA (vCPM)</v>
      </c>
      <c r="D38" s="273"/>
      <c r="E38" s="399"/>
      <c r="F38" s="399"/>
      <c r="G38" s="466"/>
      <c r="H38" s="399"/>
      <c r="I38" s="466"/>
      <c r="J38" s="399"/>
      <c r="K38" s="466"/>
      <c r="L38" s="399"/>
      <c r="M38" s="466"/>
      <c r="N38" s="363"/>
      <c r="O38" s="363"/>
      <c r="P38" s="363"/>
      <c r="Q38" s="363"/>
    </row>
    <row r="39" spans="2:17" ht="25.5" customHeight="1">
      <c r="B39" s="16"/>
      <c r="C39" s="845" t="s">
        <v>113</v>
      </c>
      <c r="D39" s="845"/>
      <c r="E39" s="845"/>
      <c r="F39" s="871" t="s">
        <v>231</v>
      </c>
      <c r="G39" s="871"/>
      <c r="H39" s="864" t="s">
        <v>163</v>
      </c>
      <c r="I39" s="864"/>
      <c r="J39" s="864" t="s">
        <v>175</v>
      </c>
      <c r="K39" s="855"/>
      <c r="L39" s="469"/>
    </row>
    <row r="40" spans="2:17" ht="25.5" customHeight="1">
      <c r="B40" s="16"/>
      <c r="C40" s="845"/>
      <c r="D40" s="845"/>
      <c r="E40" s="845"/>
      <c r="F40" s="898" t="str">
        <f>'Serwisy &amp; Pakiety'!F37</f>
        <v>rozliczenie za widzialne odsłony wg standardu IAB, po statystykach wewnętrznych WPM¹</v>
      </c>
      <c r="G40" s="898"/>
      <c r="H40" s="898"/>
      <c r="I40" s="898"/>
      <c r="J40" s="898"/>
      <c r="K40" s="899"/>
      <c r="L40" s="357"/>
    </row>
    <row r="41" spans="2:17" ht="12.75" customHeight="1">
      <c r="B41" s="16"/>
      <c r="C41" s="845"/>
      <c r="D41" s="845"/>
      <c r="E41" s="845"/>
      <c r="F41" s="864" t="s">
        <v>126</v>
      </c>
      <c r="G41" s="864"/>
      <c r="H41" s="864"/>
      <c r="I41" s="864"/>
      <c r="J41" s="864"/>
      <c r="K41" s="855"/>
      <c r="L41" s="469"/>
    </row>
    <row r="42" spans="2:17" ht="25.5" customHeight="1">
      <c r="B42" s="280"/>
      <c r="C42" s="447" t="s">
        <v>24</v>
      </c>
      <c r="D42" s="873" t="s">
        <v>164</v>
      </c>
      <c r="E42" s="874"/>
      <c r="F42" s="846" t="s">
        <v>96</v>
      </c>
      <c r="G42" s="863"/>
      <c r="H42" s="890" t="s">
        <v>234</v>
      </c>
      <c r="I42" s="891"/>
      <c r="J42" s="846" t="s">
        <v>96</v>
      </c>
      <c r="K42" s="847"/>
      <c r="L42" s="468"/>
    </row>
    <row r="43" spans="2:17" ht="25.5" customHeight="1">
      <c r="B43" s="16"/>
      <c r="C43" s="578" t="s">
        <v>172</v>
      </c>
      <c r="D43" s="859" t="s">
        <v>173</v>
      </c>
      <c r="E43" s="860"/>
      <c r="F43" s="865" t="s">
        <v>96</v>
      </c>
      <c r="G43" s="866"/>
      <c r="H43" s="865" t="s">
        <v>96</v>
      </c>
      <c r="I43" s="866"/>
      <c r="J43" s="896" t="s">
        <v>174</v>
      </c>
      <c r="K43" s="897"/>
      <c r="L43" s="468"/>
    </row>
    <row r="44" spans="2:17" s="479" customFormat="1" ht="25.5" customHeight="1">
      <c r="B44" s="280"/>
      <c r="C44" s="580" t="s">
        <v>44</v>
      </c>
      <c r="D44" s="878" t="s">
        <v>230</v>
      </c>
      <c r="E44" s="879"/>
      <c r="F44" s="861" t="s">
        <v>174</v>
      </c>
      <c r="G44" s="862"/>
      <c r="H44" s="848" t="s">
        <v>96</v>
      </c>
      <c r="I44" s="849"/>
      <c r="J44" s="848" t="s">
        <v>96</v>
      </c>
      <c r="K44" s="849"/>
      <c r="L44" s="468"/>
    </row>
    <row r="45" spans="2:17" ht="12.75" customHeight="1">
      <c r="B45" s="16"/>
      <c r="C45" s="271" t="str">
        <f>'Serwisy &amp; Pakiety'!C133</f>
        <v xml:space="preserve">¹ Ceny dotyczą rozliczenia vCPM po statystykach wewnętrznych WPM. W przypadku rozliczenia po statystykach zewnętrznych dopłata +20%. </v>
      </c>
      <c r="D45" s="451"/>
      <c r="E45" s="451"/>
      <c r="F45" s="276"/>
      <c r="G45" s="276"/>
      <c r="H45" s="276"/>
      <c r="I45" s="276"/>
      <c r="J45" s="276"/>
      <c r="K45" s="276"/>
      <c r="L45" s="276"/>
      <c r="M45" s="276"/>
      <c r="N45" s="276"/>
      <c r="O45" s="276"/>
    </row>
    <row r="46" spans="2:17" ht="12.75" customHeight="1">
      <c r="B46" s="16"/>
      <c r="C46" s="271" t="s">
        <v>176</v>
      </c>
      <c r="D46" s="451"/>
      <c r="E46" s="451"/>
      <c r="F46" s="276"/>
      <c r="G46" s="276"/>
      <c r="H46" s="276"/>
      <c r="I46" s="276"/>
      <c r="J46" s="276"/>
      <c r="K46" s="276"/>
      <c r="L46" s="276"/>
      <c r="M46" s="276"/>
      <c r="N46" s="276"/>
      <c r="O46" s="276"/>
    </row>
    <row r="47" spans="2:17" ht="12.75" customHeight="1">
      <c r="B47" s="16"/>
      <c r="C47" s="586" t="s">
        <v>193</v>
      </c>
      <c r="D47" s="451"/>
      <c r="E47" s="451"/>
      <c r="F47" s="276"/>
      <c r="G47" s="276"/>
      <c r="H47" s="276"/>
      <c r="I47" s="276"/>
      <c r="J47" s="276"/>
      <c r="K47" s="276"/>
      <c r="L47" s="276"/>
      <c r="M47" s="276"/>
      <c r="N47" s="276"/>
      <c r="O47" s="276"/>
    </row>
    <row r="48" spans="2:17" ht="15" customHeight="1">
      <c r="B48" s="16"/>
      <c r="C48" s="284"/>
      <c r="D48" s="284"/>
      <c r="E48" s="366"/>
      <c r="F48" s="362"/>
      <c r="G48" s="466"/>
      <c r="H48" s="362"/>
      <c r="I48" s="466"/>
      <c r="J48" s="366"/>
      <c r="K48" s="366"/>
      <c r="L48" s="366"/>
      <c r="M48" s="366"/>
      <c r="N48" s="362"/>
      <c r="O48" s="362"/>
    </row>
    <row r="49" spans="2:15" ht="15" customHeight="1">
      <c r="B49" s="16"/>
      <c r="C49" s="284"/>
      <c r="D49" s="284"/>
      <c r="E49" s="366"/>
      <c r="F49" s="362"/>
      <c r="G49" s="466"/>
      <c r="H49" s="362"/>
      <c r="I49" s="466"/>
      <c r="J49" s="366"/>
      <c r="K49" s="366"/>
      <c r="L49" s="366"/>
      <c r="M49" s="366"/>
      <c r="N49" s="362"/>
      <c r="O49" s="362"/>
    </row>
    <row r="50" spans="2:15" ht="12.75" customHeight="1">
      <c r="B50" s="16"/>
      <c r="C50" s="285" t="s">
        <v>117</v>
      </c>
      <c r="D50" s="284"/>
      <c r="E50" s="366"/>
      <c r="F50" s="362"/>
      <c r="G50" s="466"/>
      <c r="H50" s="362"/>
      <c r="I50" s="466"/>
      <c r="J50" s="366"/>
      <c r="K50" s="366"/>
      <c r="L50" s="366"/>
      <c r="M50" s="366"/>
      <c r="N50" s="362"/>
      <c r="O50" s="362"/>
    </row>
    <row r="51" spans="2:15" ht="25.5" customHeight="1">
      <c r="B51" s="16"/>
      <c r="C51" s="876" t="s">
        <v>113</v>
      </c>
      <c r="D51" s="876"/>
      <c r="E51" s="460" t="s">
        <v>120</v>
      </c>
      <c r="F51" s="867" t="s">
        <v>121</v>
      </c>
      <c r="G51" s="851"/>
      <c r="H51" s="854" t="s">
        <v>115</v>
      </c>
      <c r="I51" s="855"/>
      <c r="J51" s="366"/>
      <c r="K51" s="366"/>
      <c r="L51" s="362"/>
      <c r="M51" s="466"/>
      <c r="N51" s="362"/>
    </row>
    <row r="52" spans="2:15" ht="12.75" customHeight="1">
      <c r="B52" s="16"/>
      <c r="C52" s="876"/>
      <c r="D52" s="876"/>
      <c r="E52" s="864" t="s">
        <v>181</v>
      </c>
      <c r="F52" s="864"/>
      <c r="G52" s="855"/>
      <c r="H52" s="854" t="s">
        <v>178</v>
      </c>
      <c r="I52" s="855"/>
      <c r="J52" s="366"/>
      <c r="K52" s="366"/>
      <c r="L52" s="362"/>
      <c r="M52" s="466"/>
      <c r="N52" s="362"/>
    </row>
    <row r="53" spans="2:15" ht="12.75" customHeight="1">
      <c r="B53" s="280"/>
      <c r="C53" s="869" t="s">
        <v>118</v>
      </c>
      <c r="D53" s="356" t="s">
        <v>239</v>
      </c>
      <c r="E53" s="843">
        <v>240000</v>
      </c>
      <c r="F53" s="856">
        <v>190000</v>
      </c>
      <c r="G53" s="857"/>
      <c r="H53" s="856">
        <v>50000</v>
      </c>
      <c r="I53" s="857"/>
      <c r="J53" s="366"/>
      <c r="K53" s="366"/>
      <c r="L53" s="362"/>
      <c r="M53" s="466"/>
      <c r="N53" s="362"/>
    </row>
    <row r="54" spans="2:15" ht="12.75" customHeight="1">
      <c r="B54" s="280"/>
      <c r="C54" s="870"/>
      <c r="D54" s="303" t="s">
        <v>240</v>
      </c>
      <c r="E54" s="858"/>
      <c r="F54" s="846">
        <v>215000</v>
      </c>
      <c r="G54" s="847"/>
      <c r="H54" s="846"/>
      <c r="I54" s="847"/>
      <c r="J54" s="366"/>
      <c r="K54" s="366"/>
      <c r="L54" s="450"/>
      <c r="M54" s="466"/>
      <c r="N54" s="450"/>
    </row>
    <row r="55" spans="2:15" ht="25.5" customHeight="1">
      <c r="B55" s="280"/>
      <c r="C55" s="360" t="s">
        <v>119</v>
      </c>
      <c r="D55" s="361"/>
      <c r="E55" s="449">
        <v>70000</v>
      </c>
      <c r="F55" s="848">
        <v>80000</v>
      </c>
      <c r="G55" s="849"/>
      <c r="H55" s="848" t="s">
        <v>96</v>
      </c>
      <c r="I55" s="849"/>
      <c r="J55" s="366"/>
      <c r="K55" s="366"/>
      <c r="L55" s="362"/>
      <c r="M55" s="466"/>
      <c r="N55" s="362"/>
    </row>
    <row r="56" spans="2:15" ht="15" customHeight="1">
      <c r="B56" s="16"/>
      <c r="C56" s="284"/>
      <c r="D56" s="284"/>
      <c r="E56" s="366"/>
      <c r="F56" s="362"/>
      <c r="G56" s="466"/>
      <c r="H56" s="362"/>
      <c r="I56" s="466"/>
      <c r="J56" s="366"/>
      <c r="K56" s="366"/>
      <c r="L56" s="366"/>
      <c r="M56" s="366"/>
      <c r="N56" s="362"/>
      <c r="O56" s="362"/>
    </row>
    <row r="57" spans="2:15" ht="15" customHeight="1">
      <c r="B57" s="16"/>
      <c r="C57" s="284"/>
      <c r="D57" s="284"/>
      <c r="E57" s="366"/>
      <c r="F57" s="362"/>
      <c r="G57" s="466"/>
      <c r="H57" s="362"/>
      <c r="I57" s="466"/>
      <c r="J57" s="366"/>
      <c r="K57" s="366"/>
      <c r="L57" s="366"/>
      <c r="M57" s="366"/>
      <c r="N57" s="362"/>
      <c r="O57" s="362"/>
    </row>
    <row r="58" spans="2:15" ht="12.75" customHeight="1">
      <c r="B58" s="16"/>
      <c r="C58" s="285" t="s">
        <v>122</v>
      </c>
      <c r="D58" s="284"/>
      <c r="E58" s="366"/>
      <c r="F58" s="362"/>
      <c r="G58" s="466"/>
      <c r="H58" s="362"/>
      <c r="I58" s="466"/>
      <c r="J58" s="366"/>
      <c r="K58" s="366"/>
      <c r="L58" s="366"/>
      <c r="M58" s="366"/>
      <c r="N58" s="362"/>
      <c r="O58" s="362"/>
    </row>
    <row r="59" spans="2:15" ht="25.5" customHeight="1">
      <c r="B59" s="16"/>
      <c r="C59" s="876" t="s">
        <v>113</v>
      </c>
      <c r="D59" s="876"/>
      <c r="E59" s="465" t="s">
        <v>125</v>
      </c>
      <c r="F59" s="867" t="s">
        <v>116</v>
      </c>
      <c r="G59" s="851"/>
      <c r="H59" s="850" t="s">
        <v>142</v>
      </c>
      <c r="I59" s="851"/>
      <c r="J59" s="366"/>
      <c r="K59" s="366"/>
      <c r="L59" s="366"/>
      <c r="M59" s="366"/>
      <c r="N59" s="362"/>
      <c r="O59" s="362"/>
    </row>
    <row r="60" spans="2:15" ht="12.75" customHeight="1">
      <c r="B60" s="16"/>
      <c r="C60" s="876"/>
      <c r="D60" s="876"/>
      <c r="E60" s="864" t="s">
        <v>233</v>
      </c>
      <c r="F60" s="864"/>
      <c r="G60" s="864"/>
      <c r="H60" s="864" t="s">
        <v>232</v>
      </c>
      <c r="I60" s="855"/>
      <c r="J60" s="366"/>
      <c r="K60" s="366"/>
      <c r="L60" s="366"/>
      <c r="M60" s="366"/>
      <c r="N60" s="362"/>
      <c r="O60" s="362"/>
    </row>
    <row r="61" spans="2:15" ht="25.5" customHeight="1">
      <c r="B61" s="280"/>
      <c r="C61" s="870" t="s">
        <v>123</v>
      </c>
      <c r="D61" s="887"/>
      <c r="E61" s="843">
        <v>65</v>
      </c>
      <c r="F61" s="856">
        <v>45</v>
      </c>
      <c r="G61" s="857"/>
      <c r="H61" s="846" t="s">
        <v>143</v>
      </c>
      <c r="I61" s="847"/>
      <c r="J61" s="366"/>
      <c r="K61" s="366"/>
      <c r="L61" s="366"/>
      <c r="M61" s="366"/>
      <c r="N61" s="362"/>
      <c r="O61" s="362"/>
    </row>
    <row r="62" spans="2:15" ht="25.5" customHeight="1">
      <c r="B62" s="280"/>
      <c r="C62" s="888" t="s">
        <v>124</v>
      </c>
      <c r="D62" s="889"/>
      <c r="E62" s="844"/>
      <c r="F62" s="892"/>
      <c r="G62" s="893"/>
      <c r="H62" s="852">
        <v>0.25</v>
      </c>
      <c r="I62" s="853"/>
      <c r="J62" s="366"/>
      <c r="K62" s="366"/>
      <c r="L62" s="366"/>
      <c r="M62" s="366"/>
      <c r="N62" s="362"/>
      <c r="O62" s="362"/>
    </row>
    <row r="63" spans="2:15" ht="15" customHeight="1">
      <c r="B63" s="16"/>
      <c r="C63" s="284"/>
      <c r="D63" s="284"/>
      <c r="E63" s="366"/>
      <c r="F63" s="362"/>
      <c r="G63" s="466"/>
      <c r="H63" s="362"/>
      <c r="I63" s="466"/>
      <c r="J63" s="366"/>
      <c r="K63" s="366"/>
      <c r="L63" s="366"/>
      <c r="M63" s="366"/>
      <c r="N63" s="362"/>
      <c r="O63" s="362"/>
    </row>
    <row r="64" spans="2:15" ht="7.5" customHeight="1">
      <c r="B64" s="882" t="str">
        <f>IF('Język - Language'!$B$30="Polski","REKLAMA ODSŁONOWA (vCPM) NA SERWISACH &gt;&gt;&gt;","vCPM ADVERTISING ON SITES &gt;&gt;&gt;")</f>
        <v>REKLAMA ODSŁONOWA (vCPM) NA SERWISACH &gt;&gt;&gt;</v>
      </c>
      <c r="C64" s="882"/>
      <c r="D64" s="882"/>
      <c r="E64" s="882"/>
      <c r="F64" s="273"/>
      <c r="G64" s="273"/>
      <c r="H64" s="273"/>
      <c r="I64" s="273"/>
      <c r="J64" s="273"/>
      <c r="K64" s="273"/>
      <c r="L64" s="273"/>
      <c r="M64" s="273"/>
      <c r="N64" s="273"/>
      <c r="O64" s="273"/>
    </row>
    <row r="65" spans="2:15">
      <c r="B65" s="882"/>
      <c r="C65" s="882"/>
      <c r="D65" s="882"/>
      <c r="E65" s="882"/>
      <c r="F65" s="273"/>
      <c r="G65" s="273"/>
      <c r="H65" s="273"/>
      <c r="I65" s="273"/>
      <c r="J65" s="273"/>
      <c r="K65" s="273"/>
      <c r="L65" s="273"/>
      <c r="M65" s="273"/>
      <c r="N65" s="273"/>
      <c r="O65" s="273"/>
    </row>
    <row r="66" spans="2:15" s="479" customFormat="1" ht="7.5" customHeight="1">
      <c r="B66" s="882"/>
      <c r="C66" s="882"/>
      <c r="D66" s="882"/>
      <c r="E66" s="882"/>
      <c r="F66" s="481"/>
      <c r="G66" s="481"/>
      <c r="H66" s="481"/>
      <c r="I66" s="481"/>
      <c r="J66" s="481"/>
      <c r="K66" s="481"/>
      <c r="L66" s="481"/>
      <c r="M66" s="481"/>
      <c r="N66" s="481"/>
      <c r="O66" s="481"/>
    </row>
    <row r="67" spans="2:15" s="479" customFormat="1">
      <c r="B67" s="480"/>
      <c r="C67" s="471"/>
      <c r="D67" s="482"/>
      <c r="E67" s="483"/>
      <c r="F67" s="481"/>
      <c r="G67" s="481"/>
      <c r="H67" s="481"/>
      <c r="I67" s="481"/>
      <c r="J67" s="481"/>
      <c r="K67" s="481"/>
      <c r="L67" s="481"/>
      <c r="M67" s="481"/>
      <c r="N67" s="481"/>
      <c r="O67" s="481"/>
    </row>
    <row r="68" spans="2:15" ht="7.5" customHeight="1">
      <c r="B68" s="883" t="str">
        <f>IF('Język - Language'!$B$30="Polski","REKLAMA DATA POWER &gt;&gt;&gt;","DATA POWER ADVERTISING &gt;&gt;&gt;")</f>
        <v>REKLAMA DATA POWER &gt;&gt;&gt;</v>
      </c>
      <c r="C68" s="883"/>
      <c r="D68" s="883"/>
      <c r="E68" s="883"/>
      <c r="F68" s="273"/>
      <c r="G68" s="273"/>
      <c r="H68" s="273"/>
      <c r="I68" s="273"/>
      <c r="J68" s="306"/>
      <c r="K68" s="466"/>
      <c r="L68" s="306"/>
      <c r="M68" s="466"/>
      <c r="N68" s="306"/>
      <c r="O68" s="306"/>
    </row>
    <row r="69" spans="2:15" ht="12.75" customHeight="1">
      <c r="B69" s="883"/>
      <c r="C69" s="883"/>
      <c r="D69" s="883"/>
      <c r="E69" s="883"/>
    </row>
    <row r="70" spans="2:15" ht="7.5" customHeight="1">
      <c r="B70" s="883"/>
      <c r="C70" s="883"/>
      <c r="D70" s="883"/>
      <c r="E70" s="883"/>
    </row>
  </sheetData>
  <mergeCells count="120">
    <mergeCell ref="I1:N3"/>
    <mergeCell ref="J43:K43"/>
    <mergeCell ref="J42:K42"/>
    <mergeCell ref="J44:K44"/>
    <mergeCell ref="F40:K40"/>
    <mergeCell ref="J39:K39"/>
    <mergeCell ref="F41:K41"/>
    <mergeCell ref="H43:I43"/>
    <mergeCell ref="M30:N30"/>
    <mergeCell ref="K30:L30"/>
    <mergeCell ref="F30:G30"/>
    <mergeCell ref="F31:G31"/>
    <mergeCell ref="F32:G32"/>
    <mergeCell ref="F33:G33"/>
    <mergeCell ref="F34:G34"/>
    <mergeCell ref="F35:G35"/>
    <mergeCell ref="L9:M9"/>
    <mergeCell ref="L10:M10"/>
    <mergeCell ref="J11:K12"/>
    <mergeCell ref="J13:K13"/>
    <mergeCell ref="J14:K14"/>
    <mergeCell ref="F29:G29"/>
    <mergeCell ref="E28:G28"/>
    <mergeCell ref="E8:E9"/>
    <mergeCell ref="H8:I8"/>
    <mergeCell ref="H9:I9"/>
    <mergeCell ref="H18:I18"/>
    <mergeCell ref="J18:K18"/>
    <mergeCell ref="L18:M18"/>
    <mergeCell ref="F19:G19"/>
    <mergeCell ref="H19:I19"/>
    <mergeCell ref="F15:G15"/>
    <mergeCell ref="F16:G16"/>
    <mergeCell ref="J15:K16"/>
    <mergeCell ref="J17:K17"/>
    <mergeCell ref="J19:K19"/>
    <mergeCell ref="H10:I10"/>
    <mergeCell ref="H11:I11"/>
    <mergeCell ref="H12:I12"/>
    <mergeCell ref="H15:I15"/>
    <mergeCell ref="H16:I16"/>
    <mergeCell ref="J20:K20"/>
    <mergeCell ref="L11:M12"/>
    <mergeCell ref="L13:M13"/>
    <mergeCell ref="L14:M14"/>
    <mergeCell ref="L15:M16"/>
    <mergeCell ref="L17:M17"/>
    <mergeCell ref="L19:M19"/>
    <mergeCell ref="L20:M20"/>
    <mergeCell ref="J8:K8"/>
    <mergeCell ref="J9:K9"/>
    <mergeCell ref="J10:K10"/>
    <mergeCell ref="L8:M8"/>
    <mergeCell ref="B64:E66"/>
    <mergeCell ref="B68:E70"/>
    <mergeCell ref="P17:S17"/>
    <mergeCell ref="C20:D20"/>
    <mergeCell ref="N15:N16"/>
    <mergeCell ref="C13:D13"/>
    <mergeCell ref="P13:Q13"/>
    <mergeCell ref="R13:S13"/>
    <mergeCell ref="C14:D14"/>
    <mergeCell ref="P14:S15"/>
    <mergeCell ref="C15:C16"/>
    <mergeCell ref="E15:E16"/>
    <mergeCell ref="H13:I13"/>
    <mergeCell ref="H14:I14"/>
    <mergeCell ref="H17:I17"/>
    <mergeCell ref="H20:I20"/>
    <mergeCell ref="C17:D17"/>
    <mergeCell ref="C59:D60"/>
    <mergeCell ref="C61:D61"/>
    <mergeCell ref="C62:D62"/>
    <mergeCell ref="F53:G53"/>
    <mergeCell ref="H39:I39"/>
    <mergeCell ref="H42:I42"/>
    <mergeCell ref="F61:G62"/>
    <mergeCell ref="C8:D10"/>
    <mergeCell ref="C11:C12"/>
    <mergeCell ref="F8:G8"/>
    <mergeCell ref="F9:G9"/>
    <mergeCell ref="F10:G10"/>
    <mergeCell ref="F11:G11"/>
    <mergeCell ref="F12:G12"/>
    <mergeCell ref="C53:C54"/>
    <mergeCell ref="D42:E42"/>
    <mergeCell ref="C28:D29"/>
    <mergeCell ref="C30:C35"/>
    <mergeCell ref="C51:D52"/>
    <mergeCell ref="F13:G13"/>
    <mergeCell ref="F14:G14"/>
    <mergeCell ref="F17:G17"/>
    <mergeCell ref="F20:G20"/>
    <mergeCell ref="D44:E44"/>
    <mergeCell ref="F39:G39"/>
    <mergeCell ref="F51:G51"/>
    <mergeCell ref="E52:G52"/>
    <mergeCell ref="C19:D19"/>
    <mergeCell ref="C18:D18"/>
    <mergeCell ref="F18:G18"/>
    <mergeCell ref="E61:E62"/>
    <mergeCell ref="C39:E41"/>
    <mergeCell ref="F54:G54"/>
    <mergeCell ref="F55:G55"/>
    <mergeCell ref="H55:I55"/>
    <mergeCell ref="H59:I59"/>
    <mergeCell ref="H61:I61"/>
    <mergeCell ref="H62:I62"/>
    <mergeCell ref="H51:I51"/>
    <mergeCell ref="H52:I52"/>
    <mergeCell ref="H53:I54"/>
    <mergeCell ref="E53:E54"/>
    <mergeCell ref="D43:E43"/>
    <mergeCell ref="F44:G44"/>
    <mergeCell ref="F42:G42"/>
    <mergeCell ref="H60:I60"/>
    <mergeCell ref="E60:G60"/>
    <mergeCell ref="F43:G43"/>
    <mergeCell ref="H44:I44"/>
    <mergeCell ref="F59:G59"/>
  </mergeCells>
  <hyperlinks>
    <hyperlink ref="B64" location="'Serwisy &amp; Pakiety'!A22" display="'Serwisy &amp; Pakiety'!A22" xr:uid="{00000000-0004-0000-0200-000000000000}"/>
    <hyperlink ref="B68" location="DataPower!A7" display="DataPower!A7" xr:uid="{00000000-0004-0000-0200-000001000000}"/>
    <hyperlink ref="B68:E70" location="'Dopłaty - Extra charges'!A76" display="'Dopłaty - Extra charges'!A76" xr:uid="{00000000-0004-0000-0200-000002000000}"/>
  </hyperlink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3">
    <pageSetUpPr fitToPage="1"/>
  </sheetPr>
  <dimension ref="A1:R76"/>
  <sheetViews>
    <sheetView zoomScaleNormal="100" workbookViewId="0">
      <pane ySplit="4" topLeftCell="A5" activePane="bottomLeft" state="frozen"/>
      <selection pane="bottomLeft"/>
    </sheetView>
  </sheetViews>
  <sheetFormatPr defaultColWidth="11.42578125" defaultRowHeight="12.75"/>
  <cols>
    <col min="1" max="1" width="2.85546875" style="209" customWidth="1"/>
    <col min="2" max="2" width="2.85546875" style="63" customWidth="1"/>
    <col min="3" max="3" width="25" style="63" customWidth="1"/>
    <col min="4" max="4" width="25.7109375" style="63" customWidth="1"/>
    <col min="5" max="7" width="25.5703125" style="63" customWidth="1"/>
    <col min="8" max="8" width="25.5703125" style="100" customWidth="1"/>
    <col min="9" max="9" width="25.5703125" style="63" customWidth="1"/>
    <col min="10" max="10" width="10" style="63" customWidth="1"/>
    <col min="11" max="11" width="15.42578125" style="63" customWidth="1"/>
    <col min="12" max="14" width="13.42578125" style="63" customWidth="1"/>
    <col min="15" max="15" width="11" style="63" customWidth="1"/>
    <col min="16" max="16" width="24" style="63" customWidth="1"/>
    <col min="17" max="16384" width="11.42578125" style="63"/>
  </cols>
  <sheetData>
    <row r="1" spans="1:18" ht="12.75" customHeight="1">
      <c r="A1" s="266"/>
      <c r="B1" s="264"/>
      <c r="C1" s="15" t="s">
        <v>26</v>
      </c>
      <c r="D1" s="15"/>
      <c r="E1" s="708"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F1" s="708"/>
      <c r="G1" s="708"/>
      <c r="H1" s="708"/>
      <c r="I1" s="268"/>
      <c r="J1" s="74"/>
      <c r="K1" s="266"/>
      <c r="L1" s="266"/>
      <c r="M1" s="266"/>
      <c r="N1" s="266"/>
      <c r="O1" s="266"/>
      <c r="P1" s="266"/>
      <c r="Q1" s="266"/>
      <c r="R1" s="266"/>
    </row>
    <row r="2" spans="1:18" ht="12.75" customHeight="1">
      <c r="A2" s="266"/>
      <c r="B2" s="266"/>
      <c r="C2" s="266"/>
      <c r="D2" s="266"/>
      <c r="E2" s="708"/>
      <c r="F2" s="708"/>
      <c r="G2" s="708"/>
      <c r="H2" s="708"/>
      <c r="I2" s="268"/>
      <c r="J2" s="74"/>
      <c r="K2" s="266"/>
      <c r="L2" s="266"/>
      <c r="M2" s="266"/>
      <c r="N2" s="266"/>
      <c r="O2" s="266"/>
      <c r="P2" s="266"/>
      <c r="Q2" s="266"/>
      <c r="R2" s="266"/>
    </row>
    <row r="3" spans="1:18">
      <c r="A3" s="266"/>
      <c r="B3" s="266"/>
      <c r="C3" s="266"/>
      <c r="D3" s="266"/>
      <c r="E3" s="708"/>
      <c r="F3" s="708"/>
      <c r="G3" s="708"/>
      <c r="H3" s="708"/>
      <c r="I3" s="268"/>
      <c r="J3" s="74"/>
      <c r="K3" s="266"/>
      <c r="L3" s="266"/>
      <c r="M3" s="266"/>
      <c r="N3" s="266"/>
      <c r="O3" s="266"/>
      <c r="P3" s="266"/>
      <c r="Q3" s="266"/>
      <c r="R3" s="266"/>
    </row>
    <row r="4" spans="1:18" s="34" customFormat="1" ht="12.75" customHeight="1">
      <c r="A4" s="269"/>
      <c r="B4" s="269"/>
      <c r="C4" s="98" t="str">
        <f>IF('Język - Language'!$B$30="Polski","            Emisje dobowe i tygodniowe","            Flat Fee daily and weekly emission")</f>
        <v xml:space="preserve">            Emisje dobowe i tygodniowe</v>
      </c>
      <c r="D4" s="75"/>
      <c r="E4" s="75"/>
      <c r="F4" s="75"/>
      <c r="G4" s="269"/>
      <c r="H4" s="263" t="str">
        <f>IF('Język - Language'!$B$30="Polski","PL","EN")</f>
        <v>PL</v>
      </c>
      <c r="I4" s="269"/>
      <c r="J4" s="269"/>
      <c r="K4" s="269"/>
      <c r="L4" s="269"/>
      <c r="M4" s="269"/>
      <c r="N4" s="269"/>
      <c r="O4" s="269"/>
      <c r="P4" s="269"/>
      <c r="Q4" s="269"/>
      <c r="R4" s="269"/>
    </row>
    <row r="5" spans="1:18" s="3" customFormat="1" ht="12.75" customHeight="1">
      <c r="A5" s="264"/>
      <c r="B5" s="264"/>
      <c r="C5" s="9"/>
      <c r="D5" s="9"/>
      <c r="E5" s="9"/>
      <c r="F5" s="9"/>
      <c r="G5" s="264"/>
      <c r="H5" s="264"/>
      <c r="I5" s="264"/>
      <c r="J5" s="264"/>
      <c r="K5" s="264"/>
      <c r="L5" s="264"/>
      <c r="M5" s="264"/>
      <c r="N5" s="264"/>
      <c r="O5" s="264"/>
      <c r="P5" s="264"/>
      <c r="Q5" s="264"/>
      <c r="R5" s="264"/>
    </row>
    <row r="6" spans="1:18" ht="12.75" customHeight="1">
      <c r="A6" s="266"/>
      <c r="B6" s="266"/>
      <c r="C6" s="32"/>
      <c r="D6" s="32"/>
      <c r="E6" s="32"/>
      <c r="F6" s="32"/>
      <c r="G6" s="32"/>
      <c r="H6" s="32"/>
      <c r="I6" s="32"/>
      <c r="J6" s="32"/>
      <c r="K6" s="32"/>
      <c r="L6" s="32"/>
      <c r="M6" s="32"/>
      <c r="N6" s="32"/>
      <c r="O6" s="32"/>
      <c r="P6" s="78"/>
      <c r="Q6" s="264"/>
      <c r="R6" s="266"/>
    </row>
    <row r="7" spans="1:18" ht="12.75" customHeight="1">
      <c r="A7" s="266"/>
      <c r="B7" s="266"/>
      <c r="C7" s="965" t="str">
        <f>IF('Język - Language'!$B$30="Polski",CONCATENATE("MIEJSCE EMISJI"),CONCATENATE("PLACE OF EMISSION"))</f>
        <v>MIEJSCE EMISJI</v>
      </c>
      <c r="D7" s="738" t="s">
        <v>251</v>
      </c>
      <c r="E7" s="738" t="str">
        <f>IF('Język - Language'!$B$30="Polski","FORMAT","FORMAT")</f>
        <v>FORMAT</v>
      </c>
      <c r="F7" s="738" t="str">
        <f>IF('Język - Language'!$B$30="Polski","MODEL EMISJI","MODEL OF EMISSION")</f>
        <v>MODEL EMISJI</v>
      </c>
      <c r="G7" s="738" t="str">
        <f>IF('Język - Language'!$B$30="Polski","CENA RC","RC PRICE")</f>
        <v>CENA RC</v>
      </c>
      <c r="H7" s="744"/>
      <c r="I7" s="38"/>
      <c r="J7" s="38"/>
      <c r="K7" s="8"/>
      <c r="L7" s="8"/>
      <c r="M7" s="26"/>
      <c r="N7" s="264"/>
      <c r="O7" s="264"/>
      <c r="P7" s="264"/>
      <c r="Q7" s="264"/>
      <c r="R7" s="264"/>
    </row>
    <row r="8" spans="1:18" s="266" customFormat="1" ht="12.75" customHeight="1">
      <c r="C8" s="965"/>
      <c r="D8" s="738"/>
      <c r="E8" s="738"/>
      <c r="F8" s="738"/>
      <c r="G8" s="609" t="str">
        <f>IF('Język - Language'!$B$30="Polski","styczeń-wrzesień","Jan-Sep")</f>
        <v>styczeń-wrzesień</v>
      </c>
      <c r="H8" s="610" t="str">
        <f>IF('Język - Language'!$B$30="Polski","październik-grudzień","Oct-Dec")</f>
        <v>październik-grudzień</v>
      </c>
      <c r="I8" s="38"/>
      <c r="J8" s="38"/>
      <c r="K8" s="8"/>
      <c r="L8" s="8"/>
      <c r="M8" s="26"/>
      <c r="N8" s="264"/>
      <c r="O8" s="264"/>
      <c r="P8" s="264"/>
      <c r="Q8" s="264"/>
      <c r="R8" s="264"/>
    </row>
    <row r="9" spans="1:18" s="227" customFormat="1" ht="12.75" customHeight="1">
      <c r="A9" s="266"/>
      <c r="B9" s="913" t="s">
        <v>27</v>
      </c>
      <c r="C9" s="928" t="s">
        <v>253</v>
      </c>
      <c r="D9" s="928" t="s">
        <v>252</v>
      </c>
      <c r="E9" s="301" t="str">
        <f>IF('Język - Language'!$B$30="Polski","Panel Premium","Panel Premium")</f>
        <v>Panel Premium</v>
      </c>
      <c r="F9" s="921" t="str">
        <f>IF('Język - Language'!$B$30="Polski","Flat Fee / dzień","Flat Fee / 1 day")</f>
        <v>Flat Fee / dzień</v>
      </c>
      <c r="G9" s="386">
        <v>385000</v>
      </c>
      <c r="H9" s="390">
        <v>450000</v>
      </c>
      <c r="I9" s="38"/>
      <c r="J9" s="38"/>
      <c r="K9" s="8"/>
      <c r="L9" s="8"/>
      <c r="M9" s="26"/>
      <c r="N9" s="264"/>
      <c r="O9" s="264"/>
      <c r="P9" s="264"/>
      <c r="Q9" s="264"/>
      <c r="R9" s="264"/>
    </row>
    <row r="10" spans="1:18" s="85" customFormat="1" ht="12.75" customHeight="1">
      <c r="A10" s="266"/>
      <c r="B10" s="913"/>
      <c r="C10" s="928"/>
      <c r="D10" s="928"/>
      <c r="E10" s="183" t="str">
        <f>IF('Język - Language'!$B$30="Polski","Panel Premium XL","Panel Premium XL")</f>
        <v>Panel Premium XL</v>
      </c>
      <c r="F10" s="921"/>
      <c r="G10" s="386">
        <v>470000</v>
      </c>
      <c r="H10" s="390">
        <v>565000</v>
      </c>
      <c r="I10" s="38"/>
      <c r="J10" s="38"/>
      <c r="K10" s="8"/>
      <c r="L10" s="8"/>
      <c r="M10" s="26"/>
      <c r="N10" s="264"/>
      <c r="O10" s="264"/>
      <c r="P10" s="264"/>
      <c r="Q10" s="264"/>
      <c r="R10" s="264"/>
    </row>
    <row r="11" spans="1:18" s="266" customFormat="1" ht="12.75" customHeight="1">
      <c r="B11" s="913"/>
      <c r="C11" s="928"/>
      <c r="D11" s="928"/>
      <c r="E11" s="183" t="str">
        <f>IF('Język - Language'!$B$30="Polski","WP Box w module Wiadomości FF","WP Box in the News category FF")</f>
        <v>WP Box w module Wiadomości FF</v>
      </c>
      <c r="F11" s="921"/>
      <c r="G11" s="384">
        <v>130000</v>
      </c>
      <c r="H11" s="385">
        <v>155000</v>
      </c>
      <c r="I11" s="38"/>
      <c r="J11" s="38"/>
      <c r="K11" s="8"/>
      <c r="L11" s="8"/>
      <c r="M11" s="26"/>
      <c r="N11" s="264"/>
      <c r="O11" s="264"/>
      <c r="P11" s="264"/>
      <c r="Q11" s="264"/>
      <c r="R11" s="264"/>
    </row>
    <row r="12" spans="1:18" s="266" customFormat="1" ht="12.75" customHeight="1">
      <c r="B12" s="913"/>
      <c r="C12" s="928"/>
      <c r="D12" s="928"/>
      <c r="E12" s="183" t="str">
        <f>IF('Język - Language'!$B$30="Polski","WP Box w module Sport FF","WP Box in the Sport category FF")</f>
        <v>WP Box w module Sport FF</v>
      </c>
      <c r="F12" s="921"/>
      <c r="G12" s="384">
        <v>90000</v>
      </c>
      <c r="H12" s="385">
        <v>105000</v>
      </c>
      <c r="I12" s="38"/>
      <c r="J12" s="38"/>
      <c r="K12" s="8"/>
      <c r="L12" s="8"/>
      <c r="M12" s="26"/>
      <c r="N12" s="264"/>
      <c r="O12" s="264"/>
      <c r="P12" s="264"/>
      <c r="Q12" s="264"/>
      <c r="R12" s="264"/>
    </row>
    <row r="13" spans="1:18" s="266" customFormat="1" ht="12.75" customHeight="1">
      <c r="B13" s="913"/>
      <c r="C13" s="928"/>
      <c r="D13" s="928"/>
      <c r="E13" s="185" t="str">
        <f>IF('Język - Language'!$B$30="Polski","WP Box w module Biznes FF","WP Box in the Business category FF")</f>
        <v>WP Box w module Biznes FF</v>
      </c>
      <c r="F13" s="922"/>
      <c r="G13" s="643">
        <v>63000</v>
      </c>
      <c r="H13" s="644">
        <v>72000</v>
      </c>
      <c r="I13" s="38"/>
      <c r="J13" s="38"/>
      <c r="K13" s="8"/>
      <c r="L13" s="8"/>
      <c r="M13" s="26"/>
      <c r="N13" s="264"/>
      <c r="O13" s="264"/>
      <c r="P13" s="264"/>
      <c r="Q13" s="264"/>
      <c r="R13" s="264"/>
    </row>
    <row r="14" spans="1:18" s="266" customFormat="1" ht="12.75" customHeight="1">
      <c r="B14" s="913"/>
      <c r="C14" s="920"/>
      <c r="D14" s="920"/>
      <c r="E14" s="645" t="s">
        <v>281</v>
      </c>
      <c r="F14" s="646" t="str">
        <f>IF('Język - Language'!$B$30="Polski","1/uu na godzinę / dzień","1/uu per hour / 1 day")</f>
        <v>1/uu na godzinę / dzień</v>
      </c>
      <c r="G14" s="642">
        <v>270000</v>
      </c>
      <c r="H14" s="647">
        <v>320000</v>
      </c>
      <c r="I14" s="38"/>
      <c r="J14" s="38"/>
      <c r="K14" s="8"/>
      <c r="L14" s="8"/>
      <c r="M14" s="26"/>
      <c r="N14" s="264"/>
      <c r="O14" s="264"/>
      <c r="P14" s="264"/>
      <c r="Q14" s="264"/>
      <c r="R14" s="264"/>
    </row>
    <row r="15" spans="1:18" s="85" customFormat="1" ht="12.75" customHeight="1">
      <c r="A15" s="266"/>
      <c r="B15" s="913"/>
      <c r="C15" s="919" t="s">
        <v>44</v>
      </c>
      <c r="D15" s="190" t="s">
        <v>252</v>
      </c>
      <c r="E15" s="190" t="str">
        <f>IF('Język - Language'!$B$30="Polski","Panel Premium","Panel Premium")</f>
        <v>Panel Premium</v>
      </c>
      <c r="F15" s="637" t="str">
        <f>IF('Język - Language'!$B$30="Polski","Flat Fee / dzień","Flat Fee / 1 day")</f>
        <v>Flat Fee / dzień</v>
      </c>
      <c r="G15" s="924">
        <v>30000</v>
      </c>
      <c r="H15" s="925"/>
      <c r="I15" s="38"/>
      <c r="J15" s="38"/>
      <c r="K15" s="8"/>
      <c r="L15" s="8"/>
      <c r="M15" s="26"/>
      <c r="N15" s="264"/>
      <c r="O15" s="264"/>
      <c r="P15" s="264"/>
      <c r="Q15" s="264"/>
      <c r="R15" s="264"/>
    </row>
    <row r="16" spans="1:18" s="85" customFormat="1" ht="12.75" customHeight="1">
      <c r="A16" s="266"/>
      <c r="B16" s="913"/>
      <c r="C16" s="928"/>
      <c r="D16" s="919" t="s">
        <v>254</v>
      </c>
      <c r="E16" s="184" t="s">
        <v>238</v>
      </c>
      <c r="F16" s="923" t="s">
        <v>237</v>
      </c>
      <c r="G16" s="926">
        <v>80000</v>
      </c>
      <c r="H16" s="927"/>
      <c r="I16" s="38"/>
      <c r="J16" s="38"/>
      <c r="K16" s="8"/>
      <c r="L16" s="8"/>
      <c r="M16" s="26"/>
      <c r="N16" s="264"/>
      <c r="O16" s="264"/>
      <c r="P16" s="264"/>
      <c r="Q16" s="264"/>
      <c r="R16" s="264"/>
    </row>
    <row r="17" spans="1:18" s="266" customFormat="1" ht="12.75" customHeight="1">
      <c r="B17" s="913"/>
      <c r="C17" s="928"/>
      <c r="D17" s="928"/>
      <c r="E17" s="964" t="s">
        <v>272</v>
      </c>
      <c r="F17" s="922"/>
      <c r="G17" s="917">
        <v>70000</v>
      </c>
      <c r="H17" s="918"/>
      <c r="I17" s="38"/>
      <c r="J17" s="38"/>
      <c r="K17" s="8"/>
      <c r="L17" s="8"/>
      <c r="M17" s="26"/>
      <c r="N17" s="264"/>
      <c r="O17" s="264"/>
      <c r="P17" s="264"/>
      <c r="Q17" s="264"/>
      <c r="R17" s="264"/>
    </row>
    <row r="18" spans="1:18" s="266" customFormat="1" ht="12.75" customHeight="1">
      <c r="B18" s="913"/>
      <c r="C18" s="920"/>
      <c r="D18" s="920"/>
      <c r="E18" s="920"/>
      <c r="F18" s="638" t="s">
        <v>250</v>
      </c>
      <c r="G18" s="924">
        <v>210000</v>
      </c>
      <c r="H18" s="925"/>
      <c r="I18" s="38"/>
      <c r="J18" s="38"/>
      <c r="K18" s="8"/>
      <c r="L18" s="8"/>
      <c r="M18" s="26"/>
      <c r="N18" s="264"/>
      <c r="O18" s="264"/>
      <c r="P18" s="264"/>
      <c r="Q18" s="264"/>
      <c r="R18" s="264"/>
    </row>
    <row r="19" spans="1:18" s="266" customFormat="1" ht="12.75" customHeight="1">
      <c r="B19" s="913"/>
      <c r="C19" s="919" t="s">
        <v>263</v>
      </c>
      <c r="D19" s="919" t="s">
        <v>252</v>
      </c>
      <c r="E19" s="191" t="s">
        <v>270</v>
      </c>
      <c r="F19" s="923" t="s">
        <v>237</v>
      </c>
      <c r="G19" s="915">
        <v>25000</v>
      </c>
      <c r="H19" s="916"/>
      <c r="I19" s="38"/>
      <c r="J19" s="38"/>
      <c r="K19" s="8"/>
      <c r="L19" s="8"/>
      <c r="M19" s="26"/>
      <c r="N19" s="264"/>
      <c r="O19" s="264"/>
      <c r="P19" s="264"/>
      <c r="Q19" s="264"/>
      <c r="R19" s="264"/>
    </row>
    <row r="20" spans="1:18" s="266" customFormat="1" ht="12.75" customHeight="1">
      <c r="B20" s="913"/>
      <c r="C20" s="920"/>
      <c r="D20" s="920"/>
      <c r="E20" s="635" t="s">
        <v>271</v>
      </c>
      <c r="F20" s="922"/>
      <c r="G20" s="917">
        <v>32000</v>
      </c>
      <c r="H20" s="918"/>
      <c r="I20" s="38"/>
      <c r="J20" s="38"/>
      <c r="K20" s="8"/>
      <c r="L20" s="8"/>
      <c r="M20" s="26"/>
      <c r="N20" s="264"/>
      <c r="O20" s="264"/>
      <c r="P20" s="264"/>
      <c r="Q20" s="264"/>
      <c r="R20" s="264"/>
    </row>
    <row r="21" spans="1:18" s="85" customFormat="1" ht="12.75" customHeight="1">
      <c r="A21" s="266"/>
      <c r="B21" s="913"/>
      <c r="C21" s="190" t="str">
        <f>IF('Język - Language'!$B$30="Polski","Poczta WP","WP Email Service")</f>
        <v>Poczta WP</v>
      </c>
      <c r="D21" s="190" t="str">
        <f>IF('Język - Language'!$B$30="Polski","ROS (z wykluczeniami)","ROS (exclusions)")</f>
        <v>ROS (z wykluczeniami)</v>
      </c>
      <c r="E21" s="919" t="str">
        <f>IF('Język - Language'!$B$30="Polski","Panel Premium","Panel Premium")</f>
        <v>Panel Premium</v>
      </c>
      <c r="F21" s="638" t="str">
        <f>IF('Język - Language'!$B$30="Polski","Flat Fee / dzień","Flat Fee / 1 day")</f>
        <v>Flat Fee / dzień</v>
      </c>
      <c r="G21" s="924">
        <v>110000</v>
      </c>
      <c r="H21" s="925"/>
      <c r="I21" s="38"/>
      <c r="J21" s="38"/>
      <c r="K21" s="8"/>
      <c r="L21" s="8"/>
      <c r="M21" s="26"/>
      <c r="N21" s="264"/>
      <c r="O21" s="264"/>
      <c r="P21" s="264"/>
      <c r="Q21" s="264"/>
      <c r="R21" s="264"/>
    </row>
    <row r="22" spans="1:18" s="266" customFormat="1" ht="12.75" customHeight="1">
      <c r="B22" s="913"/>
      <c r="C22" s="191" t="s">
        <v>282</v>
      </c>
      <c r="D22" s="191" t="s">
        <v>252</v>
      </c>
      <c r="E22" s="928"/>
      <c r="F22" s="735" t="str">
        <f>IF('Język - Language'!$B$30="Polski","Flat Fee / tydzień","Flat Fee / 1 week")</f>
        <v>Flat Fee / tydzień</v>
      </c>
      <c r="G22" s="915">
        <v>50000</v>
      </c>
      <c r="H22" s="916"/>
      <c r="I22" s="38"/>
      <c r="J22" s="38"/>
      <c r="K22" s="8"/>
      <c r="L22" s="8"/>
      <c r="M22" s="26"/>
      <c r="N22" s="264"/>
      <c r="O22" s="264"/>
      <c r="P22" s="264"/>
      <c r="Q22" s="264"/>
      <c r="R22" s="264"/>
    </row>
    <row r="23" spans="1:18" s="266" customFormat="1" ht="12.75" customHeight="1">
      <c r="B23" s="913"/>
      <c r="C23" s="695" t="s">
        <v>327</v>
      </c>
      <c r="D23" s="695" t="s">
        <v>242</v>
      </c>
      <c r="E23" s="920"/>
      <c r="F23" s="736"/>
      <c r="G23" s="917">
        <v>20000</v>
      </c>
      <c r="H23" s="918"/>
      <c r="I23" s="38"/>
      <c r="J23" s="38"/>
      <c r="K23" s="8"/>
      <c r="L23" s="8"/>
      <c r="M23" s="26"/>
      <c r="N23" s="264"/>
      <c r="O23" s="264"/>
      <c r="P23" s="264"/>
      <c r="Q23" s="264"/>
      <c r="R23" s="264"/>
    </row>
    <row r="24" spans="1:18" s="85" customFormat="1" ht="12.75" customHeight="1">
      <c r="A24" s="266"/>
      <c r="B24" s="913"/>
      <c r="C24" s="191" t="s">
        <v>28</v>
      </c>
      <c r="D24" s="919" t="s">
        <v>242</v>
      </c>
      <c r="E24" s="928" t="s">
        <v>238</v>
      </c>
      <c r="F24" s="736"/>
      <c r="G24" s="915">
        <v>25000</v>
      </c>
      <c r="H24" s="916"/>
      <c r="I24" s="38"/>
      <c r="J24" s="38"/>
      <c r="K24" s="8"/>
      <c r="L24" s="8"/>
      <c r="M24" s="26"/>
      <c r="N24" s="264"/>
      <c r="O24" s="264"/>
      <c r="P24" s="264"/>
      <c r="Q24" s="264"/>
      <c r="R24" s="264"/>
    </row>
    <row r="25" spans="1:18" s="266" customFormat="1" ht="12.75" customHeight="1">
      <c r="B25" s="913"/>
      <c r="C25" s="184" t="s">
        <v>305</v>
      </c>
      <c r="D25" s="928"/>
      <c r="E25" s="928"/>
      <c r="F25" s="736"/>
      <c r="G25" s="909">
        <v>35000</v>
      </c>
      <c r="H25" s="910"/>
      <c r="I25" s="38"/>
      <c r="J25" s="38"/>
      <c r="K25" s="8"/>
      <c r="L25" s="8"/>
      <c r="M25" s="26"/>
      <c r="N25" s="264"/>
      <c r="O25" s="264"/>
      <c r="P25" s="264"/>
      <c r="Q25" s="264"/>
      <c r="R25" s="264"/>
    </row>
    <row r="26" spans="1:18" s="85" customFormat="1" ht="12.75" customHeight="1">
      <c r="A26" s="266"/>
      <c r="B26" s="913"/>
      <c r="C26" s="184" t="s">
        <v>29</v>
      </c>
      <c r="D26" s="928"/>
      <c r="E26" s="928"/>
      <c r="F26" s="736"/>
      <c r="G26" s="909">
        <v>20000</v>
      </c>
      <c r="H26" s="910"/>
      <c r="I26" s="38"/>
      <c r="J26" s="38"/>
      <c r="K26" s="8"/>
      <c r="L26" s="8"/>
      <c r="M26" s="26"/>
      <c r="N26" s="264"/>
      <c r="O26" s="264"/>
      <c r="P26" s="264"/>
      <c r="Q26" s="264"/>
      <c r="R26" s="264"/>
    </row>
    <row r="27" spans="1:18" s="85" customFormat="1" ht="12.75" customHeight="1">
      <c r="A27" s="266"/>
      <c r="B27" s="913"/>
      <c r="C27" s="184" t="s">
        <v>30</v>
      </c>
      <c r="D27" s="928"/>
      <c r="E27" s="928"/>
      <c r="F27" s="736"/>
      <c r="G27" s="909">
        <v>20000</v>
      </c>
      <c r="H27" s="910"/>
      <c r="I27" s="38"/>
      <c r="J27" s="38"/>
      <c r="K27" s="8"/>
      <c r="L27" s="8"/>
      <c r="M27" s="26"/>
      <c r="N27" s="264"/>
      <c r="O27" s="264"/>
      <c r="P27" s="264"/>
      <c r="Q27" s="264"/>
      <c r="R27" s="264"/>
    </row>
    <row r="28" spans="1:18" s="85" customFormat="1" ht="12.75" customHeight="1">
      <c r="A28" s="266"/>
      <c r="B28" s="913"/>
      <c r="C28" s="183" t="s">
        <v>31</v>
      </c>
      <c r="D28" s="928"/>
      <c r="E28" s="928"/>
      <c r="F28" s="736"/>
      <c r="G28" s="909">
        <v>20000</v>
      </c>
      <c r="H28" s="910"/>
      <c r="I28" s="38"/>
      <c r="J28" s="38"/>
      <c r="K28" s="8"/>
      <c r="L28" s="8"/>
      <c r="M28" s="26"/>
      <c r="N28" s="264"/>
      <c r="O28" s="264"/>
      <c r="P28" s="264"/>
      <c r="Q28" s="264"/>
      <c r="R28" s="264"/>
    </row>
    <row r="29" spans="1:18" s="266" customFormat="1" ht="12.75" customHeight="1">
      <c r="B29" s="913"/>
      <c r="C29" s="183" t="s">
        <v>25</v>
      </c>
      <c r="D29" s="928"/>
      <c r="E29" s="928"/>
      <c r="F29" s="736"/>
      <c r="G29" s="909">
        <v>240000</v>
      </c>
      <c r="H29" s="910"/>
      <c r="I29" s="38"/>
      <c r="J29" s="38"/>
      <c r="K29" s="8"/>
      <c r="L29" s="8"/>
      <c r="M29" s="26"/>
      <c r="N29" s="264"/>
      <c r="O29" s="264"/>
      <c r="P29" s="264"/>
      <c r="Q29" s="264"/>
      <c r="R29" s="264"/>
    </row>
    <row r="30" spans="1:18" s="85" customFormat="1" ht="12.75" customHeight="1">
      <c r="A30" s="266"/>
      <c r="B30" s="913"/>
      <c r="C30" s="307" t="s">
        <v>32</v>
      </c>
      <c r="D30" s="928"/>
      <c r="E30" s="928"/>
      <c r="F30" s="735" t="str">
        <f>IF('Język - Language'!$B$30="Polski","Flat Fee / dzień","Flat Fee / 1 day")</f>
        <v>Flat Fee / dzień</v>
      </c>
      <c r="G30" s="915">
        <v>60000</v>
      </c>
      <c r="H30" s="916"/>
      <c r="I30" s="38"/>
      <c r="J30" s="38"/>
      <c r="K30" s="8"/>
      <c r="L30" s="8"/>
      <c r="M30" s="26"/>
      <c r="N30" s="264"/>
      <c r="O30" s="264"/>
      <c r="P30" s="264"/>
      <c r="Q30" s="264"/>
      <c r="R30" s="264"/>
    </row>
    <row r="31" spans="1:18" s="85" customFormat="1" ht="12.75" customHeight="1">
      <c r="A31" s="266"/>
      <c r="B31" s="914"/>
      <c r="C31" s="640" t="s">
        <v>33</v>
      </c>
      <c r="D31" s="920"/>
      <c r="E31" s="928"/>
      <c r="F31" s="736"/>
      <c r="G31" s="962">
        <v>20000</v>
      </c>
      <c r="H31" s="963"/>
      <c r="I31" s="38"/>
      <c r="J31" s="38"/>
      <c r="K31" s="8"/>
      <c r="L31" s="8"/>
      <c r="M31" s="26"/>
      <c r="N31" s="264"/>
      <c r="O31" s="264"/>
      <c r="P31" s="264"/>
      <c r="Q31" s="264"/>
      <c r="R31" s="264"/>
    </row>
    <row r="32" spans="1:18" ht="25.5" customHeight="1">
      <c r="A32" s="266"/>
      <c r="B32" s="266"/>
      <c r="C32" s="189" t="str">
        <f>IF('Język - Language'!$B$30="Polski",CONCATENATE("POZOSTAŁE EMISJE FLAT FEE",CHAR(10),"MIEJSCE EMISJI"),CONCATENATE("OTHER FLAT FEE EMISSION",CHAR(10),"PLACE OF EMISSION"))</f>
        <v>POZOSTAŁE EMISJE FLAT FEE
MIEJSCE EMISJI</v>
      </c>
      <c r="D32" s="364" t="str">
        <f>IF('Język - Language'!$B$30="Polski","SEKCJA","PLACE OF EMISSION")</f>
        <v>SEKCJA</v>
      </c>
      <c r="E32" s="631" t="s">
        <v>23</v>
      </c>
      <c r="F32" s="364" t="str">
        <f>IF('Język - Language'!$B$30="Polski","MODEL EMISJI","MODEL OF EMISSION")</f>
        <v>MODEL EMISJI</v>
      </c>
      <c r="G32" s="744" t="str">
        <f>IF('Język - Language'!$B$30="Polski","CENA net net","net net PRICE")</f>
        <v>CENA net net</v>
      </c>
      <c r="H32" s="744"/>
      <c r="I32" s="266"/>
      <c r="J32" s="266"/>
      <c r="K32" s="266"/>
      <c r="L32" s="266"/>
      <c r="M32" s="266"/>
      <c r="N32" s="266"/>
      <c r="O32" s="266"/>
      <c r="P32" s="266"/>
    </row>
    <row r="33" spans="1:18" s="266" customFormat="1" ht="12.75" customHeight="1">
      <c r="B33" s="913" t="s">
        <v>27</v>
      </c>
      <c r="C33" s="954" t="s">
        <v>24</v>
      </c>
      <c r="D33" s="443" t="s">
        <v>155</v>
      </c>
      <c r="E33" s="956" t="str">
        <f>IF('Język - Language'!$B$30="Polski","Linkt tesktowy w sekcji na WP SG (kierujący na zewnątrz)","Text link in the selected section of WP Home Page (linking outside)")</f>
        <v>Linkt tesktowy w sekcji na WP SG (kierujący na zewnątrz)</v>
      </c>
      <c r="F33" s="956" t="str">
        <f>IF('Język - Language'!$B$30="Polski","Flat Fee / dzień","Flat Fee / 1 day")</f>
        <v>Flat Fee / dzień</v>
      </c>
      <c r="G33" s="934" t="s">
        <v>169</v>
      </c>
      <c r="H33" s="935"/>
    </row>
    <row r="34" spans="1:18" s="266" customFormat="1" ht="12.75" customHeight="1">
      <c r="B34" s="913"/>
      <c r="C34" s="954"/>
      <c r="D34" s="444" t="s">
        <v>43</v>
      </c>
      <c r="E34" s="956"/>
      <c r="F34" s="956"/>
      <c r="G34" s="936" t="s">
        <v>170</v>
      </c>
      <c r="H34" s="937"/>
    </row>
    <row r="35" spans="1:18" s="266" customFormat="1" ht="12.75" customHeight="1">
      <c r="B35" s="913"/>
      <c r="C35" s="955"/>
      <c r="D35" s="442" t="s">
        <v>157</v>
      </c>
      <c r="E35" s="957"/>
      <c r="F35" s="957"/>
      <c r="G35" s="936" t="s">
        <v>170</v>
      </c>
      <c r="H35" s="937"/>
    </row>
    <row r="36" spans="1:18" s="77" customFormat="1" ht="12.75" customHeight="1">
      <c r="A36" s="266"/>
      <c r="B36" s="913"/>
      <c r="C36" s="958" t="s">
        <v>241</v>
      </c>
      <c r="D36" s="923" t="s">
        <v>266</v>
      </c>
      <c r="E36" s="923" t="s">
        <v>273</v>
      </c>
      <c r="F36" s="402" t="str">
        <f>IF('Język - Language'!$B$30="Polski","Flat Fee / dzień","Flat Fee / 1 day")</f>
        <v>Flat Fee / dzień</v>
      </c>
      <c r="G36" s="950" t="s">
        <v>170</v>
      </c>
      <c r="H36" s="951"/>
      <c r="I36" s="78"/>
      <c r="J36" s="266"/>
      <c r="K36" s="266"/>
      <c r="L36" s="266"/>
      <c r="M36" s="266"/>
      <c r="N36" s="266"/>
      <c r="O36" s="266"/>
      <c r="P36" s="266"/>
    </row>
    <row r="37" spans="1:18" s="77" customFormat="1" ht="12.75" customHeight="1">
      <c r="A37" s="266"/>
      <c r="B37" s="913"/>
      <c r="C37" s="959"/>
      <c r="D37" s="922"/>
      <c r="E37" s="922"/>
      <c r="F37" s="636" t="str">
        <f>IF('Język - Language'!$B$30="Polski","Flat Fee / tydzień","Flat Fee / 1 week")</f>
        <v>Flat Fee / tydzień</v>
      </c>
      <c r="G37" s="952" t="s">
        <v>243</v>
      </c>
      <c r="H37" s="953"/>
      <c r="I37" s="78"/>
      <c r="J37" s="266"/>
      <c r="K37" s="266"/>
      <c r="L37" s="266"/>
      <c r="M37" s="266"/>
      <c r="N37" s="266"/>
      <c r="O37" s="266"/>
      <c r="P37" s="266"/>
    </row>
    <row r="38" spans="1:18">
      <c r="C38" s="186"/>
      <c r="D38" s="283"/>
      <c r="E38" s="283"/>
      <c r="F38" s="283"/>
      <c r="G38" s="283"/>
      <c r="H38" s="283"/>
      <c r="I38" s="266"/>
      <c r="J38" s="266"/>
      <c r="K38" s="266"/>
      <c r="L38" s="78"/>
      <c r="M38" s="266"/>
      <c r="N38" s="266"/>
      <c r="O38" s="266"/>
    </row>
    <row r="39" spans="1:18" s="101" customFormat="1">
      <c r="A39" s="266"/>
      <c r="B39" s="266"/>
      <c r="C39" s="125"/>
      <c r="D39" s="125"/>
      <c r="E39" s="79"/>
      <c r="F39" s="79"/>
      <c r="G39" s="38"/>
      <c r="H39" s="38"/>
      <c r="I39" s="8"/>
      <c r="J39" s="8"/>
      <c r="K39" s="26"/>
      <c r="L39" s="264"/>
      <c r="M39" s="264"/>
      <c r="N39" s="264"/>
      <c r="O39" s="264"/>
      <c r="P39" s="264"/>
      <c r="Q39" s="266"/>
      <c r="R39" s="266"/>
    </row>
    <row r="40" spans="1:18" s="104" customFormat="1" ht="25.5" customHeight="1">
      <c r="A40" s="266"/>
      <c r="B40" s="266"/>
      <c r="C40" s="929" t="str">
        <f>IF('Język - Language'!$B$30="Polski",CONCATENATE("NAGŁÓWEK SPONSOROWANY",CHAR(10),"MIEJSCE EMISJI"),CONCATENATE("SPONSORED HEADING",CHAR(10),"PLACE OF EMISSION"))</f>
        <v>NAGŁÓWEK SPONSOROWANY
MIEJSCE EMISJI</v>
      </c>
      <c r="D40" s="929"/>
      <c r="E40" s="942" t="str">
        <f>IF('Język - Language'!$B$30="Polski",CONCATENATE("Nagłówek sponsorowany standard",CHAR(10),"(FF / tydzień)"),CONCATENATE("Sponsored heading standard",CHAR(10),"(FF / week)"))</f>
        <v>Nagłówek sponsorowany standard
(FF / tydzień)</v>
      </c>
      <c r="F40" s="942"/>
      <c r="G40" s="942" t="str">
        <f>IF('Język - Language'!$B$30="Polski","Nagłówek sponsorowany (FF / tydzień) + tapeta (cap 1xuu / dzień)","Sponsored heading (FF / week) + Wallpaper (cap 1xuu / day)")</f>
        <v>Nagłówek sponsorowany (FF / tydzień) + tapeta (cap 1xuu / dzień)</v>
      </c>
      <c r="H40" s="947"/>
      <c r="I40" s="7"/>
      <c r="J40" s="291"/>
      <c r="K40" s="291"/>
      <c r="L40" s="266"/>
      <c r="M40" s="266"/>
      <c r="N40" s="266"/>
      <c r="O40" s="266"/>
      <c r="P40" s="266"/>
      <c r="Q40" s="266"/>
      <c r="R40" s="266"/>
    </row>
    <row r="41" spans="1:18" s="104" customFormat="1" ht="12.75" customHeight="1">
      <c r="A41" s="266"/>
      <c r="B41" s="913" t="s">
        <v>27</v>
      </c>
      <c r="C41" s="930" t="s">
        <v>36</v>
      </c>
      <c r="D41" s="931"/>
      <c r="E41" s="948">
        <v>60000</v>
      </c>
      <c r="F41" s="949"/>
      <c r="G41" s="948">
        <v>80000</v>
      </c>
      <c r="H41" s="949"/>
      <c r="I41" s="225"/>
      <c r="J41" s="291"/>
      <c r="K41" s="291"/>
      <c r="L41" s="291"/>
      <c r="M41" s="266"/>
      <c r="N41" s="264"/>
      <c r="O41" s="266"/>
      <c r="P41" s="266"/>
      <c r="Q41" s="266"/>
      <c r="R41" s="266"/>
    </row>
    <row r="42" spans="1:18" s="104" customFormat="1" ht="12.75" customHeight="1">
      <c r="A42" s="266"/>
      <c r="B42" s="913"/>
      <c r="C42" s="932" t="s">
        <v>145</v>
      </c>
      <c r="D42" s="933"/>
      <c r="E42" s="911">
        <v>150000</v>
      </c>
      <c r="F42" s="912"/>
      <c r="G42" s="911">
        <v>210000</v>
      </c>
      <c r="H42" s="912"/>
      <c r="I42" s="225"/>
      <c r="J42" s="291"/>
      <c r="K42" s="291"/>
      <c r="L42" s="291"/>
      <c r="M42" s="266"/>
      <c r="N42" s="264"/>
      <c r="O42" s="266"/>
      <c r="P42" s="266"/>
      <c r="Q42" s="266"/>
      <c r="R42" s="266"/>
    </row>
    <row r="43" spans="1:18" s="104" customFormat="1" ht="12.75" customHeight="1">
      <c r="A43" s="266"/>
      <c r="B43" s="913"/>
      <c r="C43" s="932" t="s">
        <v>34</v>
      </c>
      <c r="D43" s="933"/>
      <c r="E43" s="911">
        <v>230000</v>
      </c>
      <c r="F43" s="912"/>
      <c r="G43" s="911">
        <v>290000</v>
      </c>
      <c r="H43" s="912"/>
      <c r="I43" s="225"/>
      <c r="J43" s="291"/>
      <c r="K43" s="291"/>
      <c r="L43" s="291"/>
      <c r="M43" s="266"/>
      <c r="N43" s="264"/>
      <c r="O43" s="266"/>
      <c r="P43" s="266"/>
      <c r="Q43" s="266"/>
      <c r="R43" s="266"/>
    </row>
    <row r="44" spans="1:18" s="104" customFormat="1" ht="12.75" customHeight="1">
      <c r="A44" s="266"/>
      <c r="B44" s="913"/>
      <c r="C44" s="932" t="s">
        <v>25</v>
      </c>
      <c r="D44" s="933"/>
      <c r="E44" s="911">
        <v>200000</v>
      </c>
      <c r="F44" s="912"/>
      <c r="G44" s="911">
        <v>280000</v>
      </c>
      <c r="H44" s="912"/>
      <c r="I44" s="225"/>
      <c r="J44" s="291"/>
      <c r="K44" s="291"/>
      <c r="L44" s="291"/>
      <c r="M44" s="266"/>
      <c r="N44" s="264"/>
      <c r="O44" s="266"/>
      <c r="P44" s="266"/>
      <c r="Q44" s="266"/>
      <c r="R44" s="266"/>
    </row>
    <row r="45" spans="1:18" s="107" customFormat="1" ht="12.75" customHeight="1">
      <c r="A45" s="266"/>
      <c r="B45" s="913"/>
      <c r="C45" s="932" t="s">
        <v>28</v>
      </c>
      <c r="D45" s="933"/>
      <c r="E45" s="911">
        <v>30000</v>
      </c>
      <c r="F45" s="912"/>
      <c r="G45" s="911">
        <v>40000</v>
      </c>
      <c r="H45" s="912"/>
      <c r="I45" s="225"/>
      <c r="J45" s="291"/>
      <c r="K45" s="291"/>
      <c r="L45" s="291"/>
      <c r="M45" s="266"/>
      <c r="N45" s="264"/>
      <c r="O45" s="266"/>
      <c r="P45" s="266"/>
      <c r="Q45" s="266"/>
      <c r="R45" s="266"/>
    </row>
    <row r="46" spans="1:18" s="104" customFormat="1" ht="12.75" customHeight="1">
      <c r="A46" s="266"/>
      <c r="B46" s="913"/>
      <c r="C46" s="932" t="s">
        <v>35</v>
      </c>
      <c r="D46" s="933"/>
      <c r="E46" s="911">
        <v>25000</v>
      </c>
      <c r="F46" s="912"/>
      <c r="G46" s="911">
        <v>30000</v>
      </c>
      <c r="H46" s="912"/>
      <c r="I46" s="225"/>
      <c r="J46" s="291"/>
      <c r="K46" s="291"/>
      <c r="L46" s="291"/>
      <c r="M46" s="266"/>
      <c r="N46" s="264"/>
      <c r="O46" s="266"/>
      <c r="P46" s="266"/>
      <c r="Q46" s="266"/>
      <c r="R46" s="266"/>
    </row>
    <row r="47" spans="1:18" s="107" customFormat="1" ht="12.75" customHeight="1">
      <c r="A47" s="266"/>
      <c r="B47" s="913"/>
      <c r="C47" s="932" t="s">
        <v>37</v>
      </c>
      <c r="D47" s="933"/>
      <c r="E47" s="911">
        <v>32000</v>
      </c>
      <c r="F47" s="912"/>
      <c r="G47" s="911">
        <v>45000</v>
      </c>
      <c r="H47" s="912"/>
      <c r="I47" s="225"/>
      <c r="J47" s="291"/>
      <c r="K47" s="291"/>
      <c r="L47" s="291"/>
      <c r="M47" s="266"/>
      <c r="N47" s="264"/>
      <c r="O47" s="266"/>
      <c r="P47" s="266"/>
      <c r="Q47" s="266"/>
      <c r="R47" s="266"/>
    </row>
    <row r="48" spans="1:18" s="107" customFormat="1" ht="12.75" customHeight="1">
      <c r="A48" s="266"/>
      <c r="B48" s="913"/>
      <c r="C48" s="932" t="s">
        <v>130</v>
      </c>
      <c r="D48" s="933"/>
      <c r="E48" s="911">
        <v>30000</v>
      </c>
      <c r="F48" s="912"/>
      <c r="G48" s="911">
        <v>40000</v>
      </c>
      <c r="H48" s="912"/>
      <c r="I48" s="225"/>
      <c r="J48" s="291"/>
      <c r="K48" s="291"/>
      <c r="L48" s="291"/>
      <c r="M48" s="266"/>
      <c r="N48" s="264"/>
    </row>
    <row r="49" spans="1:17" s="107" customFormat="1" ht="12.75" customHeight="1">
      <c r="A49" s="266"/>
      <c r="B49" s="913"/>
      <c r="C49" s="932" t="s">
        <v>39</v>
      </c>
      <c r="D49" s="933"/>
      <c r="E49" s="911">
        <v>65000</v>
      </c>
      <c r="F49" s="912"/>
      <c r="G49" s="911">
        <v>85000</v>
      </c>
      <c r="H49" s="912"/>
      <c r="I49" s="225"/>
      <c r="J49" s="291"/>
      <c r="K49" s="291"/>
      <c r="L49" s="291"/>
      <c r="M49" s="266"/>
      <c r="N49" s="264"/>
    </row>
    <row r="50" spans="1:17" s="107" customFormat="1" ht="12.75" customHeight="1">
      <c r="A50" s="266"/>
      <c r="B50" s="913"/>
      <c r="C50" s="932" t="s">
        <v>41</v>
      </c>
      <c r="D50" s="933"/>
      <c r="E50" s="911">
        <v>25000</v>
      </c>
      <c r="F50" s="912"/>
      <c r="G50" s="911">
        <v>30000</v>
      </c>
      <c r="H50" s="912"/>
      <c r="I50" s="225"/>
      <c r="J50" s="291"/>
      <c r="K50" s="291"/>
      <c r="L50" s="291"/>
      <c r="M50" s="266"/>
      <c r="N50" s="264"/>
    </row>
    <row r="51" spans="1:17" s="107" customFormat="1" ht="12.75" customHeight="1">
      <c r="A51" s="266"/>
      <c r="B51" s="913"/>
      <c r="C51" s="932" t="s">
        <v>38</v>
      </c>
      <c r="D51" s="933"/>
      <c r="E51" s="911">
        <v>25000</v>
      </c>
      <c r="F51" s="912"/>
      <c r="G51" s="911">
        <v>30000</v>
      </c>
      <c r="H51" s="912"/>
      <c r="I51" s="225"/>
      <c r="J51" s="291"/>
      <c r="K51" s="291"/>
      <c r="L51" s="291"/>
      <c r="M51" s="266"/>
      <c r="N51" s="264"/>
    </row>
    <row r="52" spans="1:17" s="104" customFormat="1" ht="12.75" customHeight="1">
      <c r="A52" s="266"/>
      <c r="B52" s="913"/>
      <c r="C52" s="932" t="s">
        <v>32</v>
      </c>
      <c r="D52" s="933"/>
      <c r="E52" s="911">
        <v>80000</v>
      </c>
      <c r="F52" s="912"/>
      <c r="G52" s="911">
        <v>100000</v>
      </c>
      <c r="H52" s="912"/>
      <c r="I52" s="225"/>
      <c r="J52" s="291"/>
      <c r="K52" s="291"/>
      <c r="L52" s="291"/>
      <c r="M52" s="266"/>
      <c r="N52" s="264"/>
    </row>
    <row r="53" spans="1:17" s="266" customFormat="1" ht="12.75" customHeight="1">
      <c r="B53" s="673"/>
      <c r="C53" s="960" t="s">
        <v>305</v>
      </c>
      <c r="D53" s="961"/>
      <c r="E53" s="907">
        <v>38000</v>
      </c>
      <c r="F53" s="908"/>
      <c r="G53" s="907">
        <v>50000</v>
      </c>
      <c r="H53" s="908"/>
      <c r="I53" s="225"/>
      <c r="J53" s="672"/>
      <c r="K53" s="672"/>
      <c r="L53" s="672"/>
      <c r="N53" s="264"/>
    </row>
    <row r="54" spans="1:17" s="224" customFormat="1" ht="12.75" customHeight="1">
      <c r="A54" s="266"/>
      <c r="B54" s="221"/>
      <c r="C54" s="223"/>
      <c r="D54" s="223"/>
      <c r="E54" s="222"/>
      <c r="F54" s="222"/>
      <c r="G54" s="222"/>
      <c r="H54" s="222"/>
      <c r="I54" s="225"/>
      <c r="J54" s="291"/>
      <c r="K54" s="291"/>
      <c r="L54" s="291"/>
      <c r="M54" s="266"/>
      <c r="N54" s="264"/>
    </row>
    <row r="55" spans="1:17" s="106" customFormat="1" ht="12.75" customHeight="1">
      <c r="A55" s="266"/>
      <c r="B55" s="266"/>
      <c r="C55" s="108"/>
      <c r="D55" s="108"/>
      <c r="E55" s="109"/>
      <c r="F55" s="109"/>
      <c r="G55" s="109"/>
      <c r="H55" s="109"/>
      <c r="I55" s="291"/>
      <c r="J55" s="291"/>
      <c r="K55" s="291"/>
      <c r="L55" s="266"/>
      <c r="M55" s="264"/>
      <c r="N55" s="266"/>
    </row>
    <row r="56" spans="1:17" s="113" customFormat="1" ht="12.75" customHeight="1">
      <c r="A56" s="266"/>
      <c r="B56" s="266"/>
      <c r="C56" s="943" t="str">
        <f>IF('Język - Language'!$B$30="Polski",CONCATENATE("SPONSORING NAGŁÓWKA SEKCJI WP SG",CHAR(10),"MIEJSCE EMISJI"),CONCATENATE("SPONSORING OF WP HP SECTION HEADING",CHAR(10),"PLACE OF EMISSION"))</f>
        <v>SPONSORING NAGŁÓWKA SEKCJI WP SG
MIEJSCE EMISJI</v>
      </c>
      <c r="D56" s="943"/>
      <c r="E56" s="944" t="str">
        <f>IF('Język - Language'!$B$30="Polski","MODEL EMISJI","MODEL OF EMISSION")</f>
        <v>MODEL EMISJI</v>
      </c>
      <c r="F56" s="945" t="s">
        <v>171</v>
      </c>
      <c r="G56" s="945"/>
      <c r="H56" s="946"/>
      <c r="I56" s="291"/>
      <c r="J56" s="291"/>
      <c r="K56" s="291"/>
      <c r="L56" s="266"/>
      <c r="M56" s="264"/>
      <c r="N56" s="266"/>
    </row>
    <row r="57" spans="1:17" s="266" customFormat="1" ht="12.75" customHeight="1">
      <c r="C57" s="943"/>
      <c r="D57" s="943"/>
      <c r="E57" s="944"/>
      <c r="F57" s="202" t="str">
        <f>IF('Język - Language'!$B$30="Polski","DZIEŃ","1 DAY")</f>
        <v>DZIEŃ</v>
      </c>
      <c r="G57" s="202" t="str">
        <f>IF('Język - Language'!$B$30="Polski","TYDZIEŃ","1 WEEK")</f>
        <v>TYDZIEŃ</v>
      </c>
      <c r="H57" s="203" t="str">
        <f>IF('Język - Language'!$B$30="Polski","MIESIĄC","1 MONTH")</f>
        <v>MIESIĄC</v>
      </c>
      <c r="I57" s="440"/>
      <c r="J57" s="440"/>
      <c r="K57" s="440"/>
      <c r="M57" s="264"/>
    </row>
    <row r="58" spans="1:17" s="113" customFormat="1" ht="12.75" customHeight="1">
      <c r="A58" s="266"/>
      <c r="B58" s="913" t="s">
        <v>27</v>
      </c>
      <c r="C58" s="567" t="str">
        <f>IF('Język - Language'!$B$30="Polski","Sport","Sport")</f>
        <v>Sport</v>
      </c>
      <c r="D58" s="192"/>
      <c r="E58" s="940" t="str">
        <f>IF('Język - Language'!$B$30="Polski","Flat Fee","Flat Fee")</f>
        <v>Flat Fee</v>
      </c>
      <c r="F58" s="561">
        <v>39600</v>
      </c>
      <c r="G58" s="561">
        <v>198000</v>
      </c>
      <c r="H58" s="562">
        <v>495000</v>
      </c>
      <c r="I58" s="291"/>
      <c r="J58" s="291"/>
      <c r="K58" s="291"/>
      <c r="L58" s="266"/>
      <c r="M58" s="264"/>
      <c r="N58" s="266"/>
    </row>
    <row r="59" spans="1:17" s="113" customFormat="1" ht="12.75" customHeight="1">
      <c r="A59" s="266"/>
      <c r="B59" s="913"/>
      <c r="C59" s="568" t="str">
        <f>IF('Język - Language'!$B$30="Polski","Biznes","Business")</f>
        <v>Biznes</v>
      </c>
      <c r="D59" s="193"/>
      <c r="E59" s="940"/>
      <c r="F59" s="563">
        <v>32760</v>
      </c>
      <c r="G59" s="563">
        <v>163800</v>
      </c>
      <c r="H59" s="564">
        <v>409500</v>
      </c>
      <c r="I59" s="291"/>
      <c r="J59" s="291"/>
      <c r="K59" s="291"/>
      <c r="L59" s="266"/>
      <c r="M59" s="264"/>
      <c r="N59" s="266"/>
    </row>
    <row r="60" spans="1:17" s="113" customFormat="1" ht="12.75" customHeight="1">
      <c r="A60" s="266"/>
      <c r="B60" s="913"/>
      <c r="C60" s="568" t="str">
        <f>IF('Język - Language'!$B$30="Polski","Gwiazdy","Celebrieties")</f>
        <v>Gwiazdy</v>
      </c>
      <c r="D60" s="193"/>
      <c r="E60" s="940"/>
      <c r="F60" s="563">
        <v>29160</v>
      </c>
      <c r="G60" s="563">
        <v>145800</v>
      </c>
      <c r="H60" s="563">
        <v>364500</v>
      </c>
      <c r="I60" s="291"/>
      <c r="J60" s="291"/>
      <c r="K60" s="291"/>
      <c r="L60" s="266"/>
      <c r="M60" s="264"/>
      <c r="N60" s="266"/>
    </row>
    <row r="61" spans="1:17" s="113" customFormat="1" ht="12.75" customHeight="1">
      <c r="A61" s="266"/>
      <c r="B61" s="913"/>
      <c r="C61" s="568" t="str">
        <f>IF('Język - Language'!$B$30="Polski","Styl Życia","Life style")</f>
        <v>Styl Życia</v>
      </c>
      <c r="D61" s="193"/>
      <c r="E61" s="940"/>
      <c r="F61" s="563">
        <v>22680</v>
      </c>
      <c r="G61" s="563">
        <v>113400</v>
      </c>
      <c r="H61" s="563">
        <v>283500</v>
      </c>
      <c r="I61" s="291"/>
      <c r="J61" s="291"/>
      <c r="K61" s="291"/>
      <c r="L61" s="266"/>
      <c r="M61" s="264"/>
      <c r="N61" s="266"/>
    </row>
    <row r="62" spans="1:17" s="114" customFormat="1" ht="12.75" customHeight="1">
      <c r="A62" s="266"/>
      <c r="B62" s="913"/>
      <c r="C62" s="568" t="str">
        <f>IF('Język - Language'!$B$30="Polski","Motoryzacja, Technologia, Gry","Automotive, Technology, Games")</f>
        <v>Motoryzacja, Technologia, Gry</v>
      </c>
      <c r="D62" s="193"/>
      <c r="E62" s="940"/>
      <c r="F62" s="563">
        <v>25560</v>
      </c>
      <c r="G62" s="563">
        <v>127800</v>
      </c>
      <c r="H62" s="564">
        <v>319500</v>
      </c>
      <c r="I62" s="291"/>
      <c r="J62" s="291"/>
      <c r="K62" s="291"/>
      <c r="L62" s="266"/>
      <c r="M62" s="264"/>
      <c r="N62" s="266"/>
    </row>
    <row r="63" spans="1:17" s="115" customFormat="1" ht="12.75" customHeight="1">
      <c r="A63" s="266"/>
      <c r="B63" s="913"/>
      <c r="C63" s="569" t="str">
        <f>IF('Język - Language'!$B$30="Polski","Turystyka","Travel")</f>
        <v>Turystyka</v>
      </c>
      <c r="D63" s="194"/>
      <c r="E63" s="941"/>
      <c r="F63" s="565">
        <v>21600</v>
      </c>
      <c r="G63" s="566">
        <v>108000</v>
      </c>
      <c r="H63" s="566">
        <v>270000</v>
      </c>
      <c r="I63" s="291"/>
      <c r="J63" s="291"/>
      <c r="K63" s="291"/>
      <c r="L63" s="266"/>
      <c r="M63" s="264"/>
      <c r="N63" s="266"/>
      <c r="O63" s="266"/>
      <c r="P63" s="266"/>
      <c r="Q63" s="266"/>
    </row>
    <row r="64" spans="1:17" s="224" customFormat="1" ht="12.75" customHeight="1">
      <c r="A64" s="266"/>
      <c r="B64" s="221"/>
      <c r="C64" s="219"/>
      <c r="D64" s="219"/>
      <c r="E64" s="308"/>
      <c r="F64" s="220"/>
      <c r="G64" s="220"/>
      <c r="H64" s="220"/>
      <c r="I64" s="291"/>
      <c r="J64" s="291"/>
      <c r="K64" s="291"/>
      <c r="L64" s="266"/>
      <c r="M64" s="264"/>
      <c r="N64" s="266"/>
      <c r="O64" s="266"/>
      <c r="P64" s="266"/>
      <c r="Q64" s="266"/>
    </row>
    <row r="65" spans="1:17">
      <c r="A65" s="266"/>
      <c r="B65" s="266"/>
      <c r="C65" s="32"/>
      <c r="D65" s="32"/>
      <c r="E65" s="32"/>
      <c r="F65" s="32"/>
      <c r="G65" s="32"/>
      <c r="H65" s="32"/>
      <c r="I65" s="32"/>
      <c r="J65" s="32"/>
      <c r="K65" s="32"/>
      <c r="L65" s="32"/>
      <c r="M65" s="32"/>
      <c r="N65" s="32"/>
      <c r="O65" s="32"/>
      <c r="P65" s="78"/>
      <c r="Q65" s="264"/>
    </row>
    <row r="66" spans="1:17" ht="12.75" customHeight="1">
      <c r="C66" s="266"/>
      <c r="D66" s="266"/>
      <c r="E66" s="266"/>
      <c r="F66" s="266"/>
      <c r="G66" s="266"/>
      <c r="H66" s="266"/>
      <c r="I66" s="266"/>
      <c r="J66" s="266"/>
      <c r="K66" s="266"/>
      <c r="L66" s="266"/>
      <c r="M66" s="266"/>
      <c r="N66" s="266"/>
      <c r="O66" s="264"/>
    </row>
    <row r="68" spans="1:17">
      <c r="C68" s="102"/>
      <c r="D68" s="102"/>
      <c r="E68" s="102"/>
      <c r="F68" s="102"/>
      <c r="G68" s="102"/>
      <c r="H68" s="264"/>
      <c r="I68" s="266"/>
      <c r="J68" s="266"/>
      <c r="K68" s="266"/>
      <c r="L68" s="266"/>
      <c r="M68" s="266"/>
      <c r="N68" s="266"/>
      <c r="O68" s="266"/>
    </row>
    <row r="70" spans="1:17" ht="12.75" customHeight="1">
      <c r="A70" s="63"/>
      <c r="C70" s="103"/>
      <c r="D70" s="938"/>
      <c r="E70" s="939"/>
      <c r="F70" s="310"/>
      <c r="G70" s="102"/>
      <c r="H70" s="264"/>
      <c r="I70" s="266"/>
      <c r="J70" s="266"/>
      <c r="K70" s="266"/>
      <c r="L70" s="266"/>
      <c r="M70" s="266"/>
      <c r="N70" s="266"/>
      <c r="O70" s="266"/>
    </row>
    <row r="71" spans="1:17" ht="12.75" customHeight="1">
      <c r="A71" s="63"/>
      <c r="C71" s="103"/>
      <c r="D71" s="938"/>
      <c r="E71" s="939"/>
      <c r="F71" s="310"/>
      <c r="G71" s="102"/>
      <c r="H71" s="264"/>
      <c r="I71" s="266"/>
      <c r="J71" s="266"/>
      <c r="K71" s="266"/>
      <c r="L71" s="266"/>
      <c r="M71" s="266"/>
      <c r="N71" s="266"/>
      <c r="O71" s="266"/>
    </row>
    <row r="72" spans="1:17" ht="12.75" customHeight="1">
      <c r="A72" s="63"/>
      <c r="C72" s="103"/>
      <c r="D72" s="938"/>
      <c r="E72" s="939"/>
      <c r="F72" s="310"/>
      <c r="G72" s="102"/>
      <c r="H72" s="264"/>
      <c r="I72" s="266"/>
      <c r="J72" s="266"/>
      <c r="K72" s="266"/>
      <c r="L72" s="266"/>
      <c r="M72" s="266"/>
      <c r="N72" s="266"/>
      <c r="O72" s="266"/>
    </row>
    <row r="73" spans="1:17" ht="12.75" customHeight="1">
      <c r="A73" s="63"/>
      <c r="C73" s="103"/>
      <c r="D73" s="938"/>
      <c r="E73" s="939"/>
      <c r="F73" s="310"/>
      <c r="G73" s="102"/>
      <c r="H73" s="264"/>
      <c r="I73" s="287"/>
      <c r="J73" s="266"/>
      <c r="K73" s="266"/>
      <c r="L73" s="266"/>
      <c r="M73" s="266"/>
      <c r="N73" s="266"/>
      <c r="O73" s="266"/>
    </row>
    <row r="74" spans="1:17">
      <c r="A74" s="63"/>
      <c r="C74" s="103"/>
      <c r="D74" s="938"/>
      <c r="E74" s="310"/>
      <c r="F74" s="310"/>
      <c r="G74" s="102"/>
      <c r="H74" s="264"/>
      <c r="I74" s="287"/>
      <c r="J74" s="266"/>
      <c r="K74" s="266"/>
      <c r="L74" s="266"/>
      <c r="M74" s="266"/>
      <c r="N74" s="266"/>
      <c r="O74" s="266"/>
    </row>
    <row r="75" spans="1:17">
      <c r="A75" s="63"/>
      <c r="C75" s="266"/>
      <c r="D75" s="266"/>
      <c r="E75" s="266"/>
      <c r="F75" s="266"/>
      <c r="G75" s="266"/>
      <c r="H75" s="266"/>
      <c r="I75" s="287"/>
      <c r="J75" s="266"/>
      <c r="K75" s="266"/>
      <c r="L75" s="266"/>
      <c r="M75" s="266"/>
      <c r="N75" s="266"/>
      <c r="O75" s="266"/>
    </row>
    <row r="76" spans="1:17">
      <c r="A76" s="63"/>
      <c r="C76" s="266"/>
      <c r="D76" s="266"/>
      <c r="E76" s="266"/>
      <c r="F76" s="266"/>
      <c r="G76" s="266"/>
      <c r="H76" s="266"/>
      <c r="I76" s="287"/>
      <c r="J76" s="266"/>
      <c r="K76" s="266"/>
      <c r="L76" s="266"/>
      <c r="M76" s="266"/>
      <c r="N76" s="266"/>
      <c r="O76" s="266"/>
    </row>
  </sheetData>
  <mergeCells count="102">
    <mergeCell ref="E1:H3"/>
    <mergeCell ref="G7:H7"/>
    <mergeCell ref="F7:F8"/>
    <mergeCell ref="D7:D8"/>
    <mergeCell ref="C52:D52"/>
    <mergeCell ref="G47:H47"/>
    <mergeCell ref="E43:F43"/>
    <mergeCell ref="G44:H44"/>
    <mergeCell ref="G17:H17"/>
    <mergeCell ref="G28:H28"/>
    <mergeCell ref="G26:H26"/>
    <mergeCell ref="G21:H21"/>
    <mergeCell ref="G46:H46"/>
    <mergeCell ref="E46:F46"/>
    <mergeCell ref="E42:F42"/>
    <mergeCell ref="G31:H31"/>
    <mergeCell ref="F19:F20"/>
    <mergeCell ref="E17:E18"/>
    <mergeCell ref="C7:C8"/>
    <mergeCell ref="E7:E8"/>
    <mergeCell ref="C15:C18"/>
    <mergeCell ref="D9:D14"/>
    <mergeCell ref="C9:C14"/>
    <mergeCell ref="F30:F31"/>
    <mergeCell ref="B58:B63"/>
    <mergeCell ref="B33:B37"/>
    <mergeCell ref="C33:C35"/>
    <mergeCell ref="F33:F35"/>
    <mergeCell ref="C36:C37"/>
    <mergeCell ref="C48:D48"/>
    <mergeCell ref="E48:F48"/>
    <mergeCell ref="C43:D43"/>
    <mergeCell ref="C46:D46"/>
    <mergeCell ref="C47:D47"/>
    <mergeCell ref="C42:D42"/>
    <mergeCell ref="E41:F41"/>
    <mergeCell ref="E33:E35"/>
    <mergeCell ref="E36:E37"/>
    <mergeCell ref="B41:B52"/>
    <mergeCell ref="E47:F47"/>
    <mergeCell ref="C53:D53"/>
    <mergeCell ref="E53:F53"/>
    <mergeCell ref="D70:D74"/>
    <mergeCell ref="E70:E73"/>
    <mergeCell ref="E50:F50"/>
    <mergeCell ref="D36:D37"/>
    <mergeCell ref="E58:E63"/>
    <mergeCell ref="E44:F44"/>
    <mergeCell ref="E51:F51"/>
    <mergeCell ref="C49:D49"/>
    <mergeCell ref="E52:F52"/>
    <mergeCell ref="C50:D50"/>
    <mergeCell ref="C51:D51"/>
    <mergeCell ref="E40:F40"/>
    <mergeCell ref="C56:D57"/>
    <mergeCell ref="E56:E57"/>
    <mergeCell ref="F56:H56"/>
    <mergeCell ref="G40:H40"/>
    <mergeCell ref="G52:H52"/>
    <mergeCell ref="G42:H42"/>
    <mergeCell ref="G41:H41"/>
    <mergeCell ref="G36:H36"/>
    <mergeCell ref="G37:H37"/>
    <mergeCell ref="G50:H50"/>
    <mergeCell ref="G51:H51"/>
    <mergeCell ref="G49:H49"/>
    <mergeCell ref="G22:H22"/>
    <mergeCell ref="E24:E31"/>
    <mergeCell ref="C44:D44"/>
    <mergeCell ref="C45:D45"/>
    <mergeCell ref="G45:H45"/>
    <mergeCell ref="G29:H29"/>
    <mergeCell ref="G32:H32"/>
    <mergeCell ref="G33:H33"/>
    <mergeCell ref="G34:H34"/>
    <mergeCell ref="G35:H35"/>
    <mergeCell ref="E21:E23"/>
    <mergeCell ref="G23:H23"/>
    <mergeCell ref="G53:H53"/>
    <mergeCell ref="G25:H25"/>
    <mergeCell ref="E49:F49"/>
    <mergeCell ref="G48:H48"/>
    <mergeCell ref="B9:B31"/>
    <mergeCell ref="G19:H19"/>
    <mergeCell ref="G20:H20"/>
    <mergeCell ref="C19:C20"/>
    <mergeCell ref="F9:F13"/>
    <mergeCell ref="F16:F17"/>
    <mergeCell ref="G18:H18"/>
    <mergeCell ref="G16:H16"/>
    <mergeCell ref="D16:D18"/>
    <mergeCell ref="G15:H15"/>
    <mergeCell ref="G27:H27"/>
    <mergeCell ref="G24:H24"/>
    <mergeCell ref="D19:D20"/>
    <mergeCell ref="C40:D40"/>
    <mergeCell ref="C41:D41"/>
    <mergeCell ref="E45:F45"/>
    <mergeCell ref="G43:H43"/>
    <mergeCell ref="G30:H30"/>
    <mergeCell ref="D24:D31"/>
    <mergeCell ref="F22:F29"/>
  </mergeCells>
  <pageMargins left="0.7" right="0.7" top="0.75" bottom="0.75" header="0.3" footer="0.3"/>
  <pageSetup paperSize="256" scale="55" fitToHeight="0" orientation="landscape" r:id="rId1"/>
  <ignoredErrors>
    <ignoredError sqref="E15 E10" 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8">
    <pageSetUpPr fitToPage="1"/>
  </sheetPr>
  <dimension ref="A1:AG161"/>
  <sheetViews>
    <sheetView zoomScaleNormal="100" workbookViewId="0">
      <pane ySplit="4" topLeftCell="A5" activePane="bottomLeft" state="frozen"/>
      <selection pane="bottomLeft"/>
    </sheetView>
  </sheetViews>
  <sheetFormatPr defaultColWidth="11.42578125" defaultRowHeight="12.75" outlineLevelRow="1"/>
  <cols>
    <col min="1" max="1" width="2.85546875" style="227" customWidth="1"/>
    <col min="2" max="2" width="2.85546875" style="2" customWidth="1"/>
    <col min="3" max="3" width="22.85546875" style="2" customWidth="1"/>
    <col min="4" max="4" width="25.7109375" style="92" customWidth="1"/>
    <col min="5" max="5" width="14.28515625" style="92" customWidth="1"/>
    <col min="6" max="6" width="10.28515625" style="2" customWidth="1"/>
    <col min="7" max="7" width="10.28515625" style="92" customWidth="1"/>
    <col min="8" max="8" width="10.28515625" style="2" customWidth="1"/>
    <col min="9" max="9" width="10.28515625" style="92" customWidth="1"/>
    <col min="10" max="10" width="10.28515625" style="2" customWidth="1"/>
    <col min="11" max="11" width="10.28515625" style="92" customWidth="1"/>
    <col min="12" max="12" width="10.28515625" style="2" customWidth="1"/>
    <col min="13" max="13" width="10.28515625" style="92" customWidth="1"/>
    <col min="14" max="15" width="10.28515625" style="2" customWidth="1"/>
    <col min="16" max="16" width="10.85546875" style="2" customWidth="1"/>
    <col min="17" max="17" width="10.85546875" style="266" customWidth="1"/>
    <col min="18" max="23" width="10.85546875" style="2" customWidth="1"/>
    <col min="24" max="24" width="10" style="2" customWidth="1"/>
    <col min="25" max="25" width="9.140625" style="2" customWidth="1"/>
    <col min="26" max="27" width="9" style="2" customWidth="1"/>
    <col min="28" max="28" width="9.140625" style="2" customWidth="1"/>
    <col min="29" max="29" width="8.5703125" style="2" customWidth="1"/>
    <col min="30" max="30" width="10.5703125" style="2" customWidth="1"/>
    <col min="31" max="33" width="7.85546875" style="2" customWidth="1"/>
    <col min="34" max="16384" width="11.42578125" style="2"/>
  </cols>
  <sheetData>
    <row r="1" spans="1:33" ht="12.75" customHeight="1">
      <c r="A1" s="266"/>
      <c r="B1" s="266"/>
      <c r="C1" s="266"/>
      <c r="D1" s="266"/>
      <c r="E1" s="266"/>
      <c r="F1" s="18"/>
      <c r="H1" s="268"/>
      <c r="J1" s="268"/>
      <c r="K1" s="268"/>
      <c r="L1" s="268"/>
      <c r="N1" s="268"/>
      <c r="O1" s="708"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P1" s="708"/>
      <c r="Q1" s="708"/>
      <c r="R1" s="708"/>
      <c r="S1" s="708"/>
      <c r="T1" s="708"/>
      <c r="U1" s="708"/>
      <c r="V1" s="268"/>
      <c r="W1" s="268"/>
      <c r="X1" s="268"/>
      <c r="Y1" s="268"/>
      <c r="Z1" s="268"/>
      <c r="AA1" s="268"/>
      <c r="AB1" s="268"/>
      <c r="AC1" s="268"/>
      <c r="AD1" s="268"/>
      <c r="AE1" s="266"/>
      <c r="AF1" s="266"/>
      <c r="AG1" s="266"/>
    </row>
    <row r="2" spans="1:33" ht="12.75" customHeight="1">
      <c r="A2" s="266"/>
      <c r="B2" s="266"/>
      <c r="C2" s="266"/>
      <c r="D2" s="266"/>
      <c r="E2" s="266"/>
      <c r="F2" s="18"/>
      <c r="G2" s="268"/>
      <c r="H2" s="268"/>
      <c r="I2" s="268"/>
      <c r="J2" s="268"/>
      <c r="K2" s="268"/>
      <c r="L2" s="268"/>
      <c r="M2" s="268"/>
      <c r="N2" s="268"/>
      <c r="O2" s="708"/>
      <c r="P2" s="708"/>
      <c r="Q2" s="708"/>
      <c r="R2" s="708"/>
      <c r="S2" s="708"/>
      <c r="T2" s="708"/>
      <c r="U2" s="708"/>
      <c r="V2" s="268"/>
      <c r="W2" s="268"/>
      <c r="X2" s="268"/>
      <c r="Y2" s="268"/>
      <c r="Z2" s="268"/>
      <c r="AA2" s="268"/>
      <c r="AB2" s="268"/>
      <c r="AC2" s="268"/>
      <c r="AD2" s="268"/>
      <c r="AE2" s="266"/>
      <c r="AF2" s="266"/>
      <c r="AG2" s="266"/>
    </row>
    <row r="3" spans="1:33" ht="12.75" customHeight="1">
      <c r="A3" s="266"/>
      <c r="B3" s="266"/>
      <c r="C3" s="266"/>
      <c r="D3" s="266"/>
      <c r="E3" s="266"/>
      <c r="F3" s="18"/>
      <c r="G3" s="268"/>
      <c r="H3" s="268"/>
      <c r="I3" s="268"/>
      <c r="J3" s="268"/>
      <c r="K3" s="268"/>
      <c r="L3" s="268"/>
      <c r="M3" s="268"/>
      <c r="N3" s="268"/>
      <c r="O3" s="708"/>
      <c r="P3" s="708"/>
      <c r="Q3" s="708"/>
      <c r="R3" s="708"/>
      <c r="S3" s="708"/>
      <c r="T3" s="708"/>
      <c r="U3" s="708"/>
      <c r="V3" s="268"/>
      <c r="W3" s="268"/>
      <c r="X3" s="268"/>
      <c r="Y3" s="268"/>
      <c r="Z3" s="268"/>
      <c r="AA3" s="268"/>
      <c r="AB3" s="268"/>
      <c r="AC3" s="268"/>
      <c r="AD3" s="268"/>
      <c r="AE3" s="266"/>
      <c r="AF3" s="266"/>
      <c r="AG3" s="266"/>
    </row>
    <row r="4" spans="1:33" s="34" customFormat="1" ht="12.75" customHeight="1">
      <c r="A4" s="269"/>
      <c r="B4" s="269"/>
      <c r="C4" s="35" t="str">
        <f>IF('Język - Language'!$B$30="Polski","            Pakiety tematyczne, zasięgowe oraz reklama na serwisie","             Packages")</f>
        <v xml:space="preserve">            Pakiety tematyczne, zasięgowe oraz reklama na serwisie</v>
      </c>
      <c r="D4" s="35"/>
      <c r="E4" s="269"/>
      <c r="F4" s="269"/>
      <c r="G4" s="269"/>
      <c r="H4" s="269"/>
      <c r="I4" s="269"/>
      <c r="J4" s="269"/>
      <c r="K4" s="269"/>
      <c r="L4" s="269"/>
      <c r="M4" s="269"/>
      <c r="N4" s="269"/>
      <c r="P4" s="269"/>
      <c r="Q4" s="269"/>
      <c r="R4" s="269"/>
      <c r="T4" s="269"/>
      <c r="U4" s="263" t="str">
        <f>IF('Język - Language'!$B$30="Polski","PL","EN")</f>
        <v>PL</v>
      </c>
      <c r="V4" s="269"/>
      <c r="W4" s="269"/>
      <c r="X4" s="269"/>
      <c r="Y4" s="269"/>
      <c r="Z4" s="269"/>
      <c r="AA4" s="269"/>
      <c r="AB4" s="269"/>
      <c r="AC4" s="269"/>
      <c r="AD4" s="269"/>
      <c r="AE4" s="269"/>
      <c r="AF4" s="269"/>
      <c r="AG4" s="269"/>
    </row>
    <row r="5" spans="1:33" ht="12.75" customHeight="1">
      <c r="A5" s="266"/>
      <c r="B5" s="266"/>
      <c r="C5" s="266"/>
      <c r="D5" s="266"/>
      <c r="E5" s="266"/>
      <c r="F5" s="266"/>
      <c r="G5" s="266"/>
      <c r="H5" s="266"/>
      <c r="I5" s="266"/>
      <c r="J5" s="266"/>
      <c r="K5" s="266"/>
      <c r="L5" s="266"/>
      <c r="M5" s="266"/>
      <c r="N5" s="266"/>
      <c r="O5" s="266"/>
      <c r="P5" s="266"/>
      <c r="R5" s="266"/>
      <c r="S5" s="266"/>
      <c r="T5" s="266"/>
      <c r="U5" s="266"/>
      <c r="V5" s="266"/>
      <c r="W5" s="266"/>
      <c r="X5" s="266"/>
      <c r="Y5" s="266"/>
      <c r="Z5" s="266"/>
      <c r="AA5" s="266"/>
      <c r="AB5" s="266"/>
      <c r="AC5" s="266"/>
      <c r="AD5" s="266"/>
      <c r="AE5" s="266"/>
      <c r="AF5" s="266"/>
      <c r="AG5" s="266"/>
    </row>
    <row r="6" spans="1:33" ht="12.75" customHeight="1" thickBot="1">
      <c r="A6" s="266"/>
      <c r="B6"/>
      <c r="C6" s="257"/>
      <c r="D6" s="257"/>
      <c r="E6" s="257"/>
      <c r="F6" s="257"/>
      <c r="G6" s="257"/>
      <c r="H6" s="257"/>
      <c r="I6" s="257"/>
      <c r="J6" s="264"/>
      <c r="K6" s="264"/>
      <c r="L6" s="264"/>
      <c r="M6" s="264"/>
      <c r="N6" s="264"/>
      <c r="O6" s="264"/>
      <c r="P6" s="264"/>
      <c r="Q6" s="264"/>
      <c r="R6" s="264"/>
      <c r="S6" s="264"/>
      <c r="T6" s="264"/>
      <c r="U6" s="264"/>
      <c r="V6" s="264"/>
      <c r="W6" s="264"/>
      <c r="X6" s="264"/>
      <c r="Y6" s="264"/>
      <c r="Z6" s="264"/>
      <c r="AA6" s="264"/>
      <c r="AB6" s="264"/>
      <c r="AC6" s="264"/>
      <c r="AD6" s="264"/>
      <c r="AE6" s="264"/>
      <c r="AF6" s="264"/>
      <c r="AG6" s="264"/>
    </row>
    <row r="7" spans="1:33" s="227" customFormat="1" ht="12.75" customHeight="1" thickTop="1">
      <c r="A7" s="266"/>
      <c r="B7" s="256"/>
      <c r="C7" s="976" t="str">
        <f>IF('Język - Language'!$B$30="Polski","KATEGORIE","CATEGORIES")</f>
        <v>KATEGORIE</v>
      </c>
      <c r="D7" s="820" t="str">
        <f>IF('Język - Language'!$B$30="Polski","MIEJSCE EMISJI","PLACE OF EMISSION")</f>
        <v>MIEJSCE EMISJI</v>
      </c>
      <c r="E7" s="982" t="str">
        <f>IF('Język - Language'!$B$30="Polski","WIDZIALNE ODSŁONY³","VIEWABLE IMPRESSIONS³")</f>
        <v>WIDZIALNE ODSŁONY³</v>
      </c>
      <c r="F7" s="978" t="str">
        <f>IF('Język - Language'!$B$30="Polski","HALFPAGE","HALFPAGE")</f>
        <v>HALFPAGE</v>
      </c>
      <c r="G7" s="979"/>
      <c r="H7" s="979" t="str">
        <f>IF('Język - Language'!$B$30="Polski","CONTENT BOX 970x200², WIDEBOARD 970x200","CONTENT BOX 970x200², WIDEBOARD 970x200")</f>
        <v>CONTENT BOX 970x200², WIDEBOARD 970x200</v>
      </c>
      <c r="I7" s="986"/>
      <c r="J7" s="264"/>
      <c r="K7" s="264"/>
      <c r="L7" s="264"/>
      <c r="M7" s="266"/>
      <c r="N7" s="266"/>
      <c r="O7" s="266"/>
      <c r="P7" s="266"/>
      <c r="Q7" s="266"/>
      <c r="R7" s="266"/>
      <c r="S7" s="266"/>
      <c r="T7" s="266"/>
      <c r="U7" s="266"/>
      <c r="V7" s="266"/>
      <c r="W7" s="266"/>
      <c r="X7" s="266"/>
      <c r="Y7" s="266"/>
      <c r="Z7" s="266"/>
      <c r="AA7" s="266"/>
      <c r="AB7" s="266"/>
      <c r="AC7" s="266"/>
    </row>
    <row r="8" spans="1:33" s="227" customFormat="1" ht="12.75" customHeight="1">
      <c r="A8" s="264"/>
      <c r="B8" s="256"/>
      <c r="C8" s="976"/>
      <c r="D8" s="820"/>
      <c r="E8" s="983"/>
      <c r="F8" s="980"/>
      <c r="G8" s="942"/>
      <c r="H8" s="942"/>
      <c r="I8" s="981"/>
      <c r="J8" s="264"/>
      <c r="K8" s="264"/>
      <c r="L8" s="264"/>
      <c r="M8" s="266"/>
      <c r="N8" s="266"/>
      <c r="O8" s="266"/>
      <c r="P8" s="266"/>
      <c r="Q8" s="266"/>
      <c r="R8" s="266"/>
      <c r="S8" s="266"/>
      <c r="T8" s="266"/>
      <c r="U8" s="266"/>
      <c r="V8" s="266"/>
      <c r="W8" s="266"/>
      <c r="X8" s="266"/>
      <c r="Y8" s="266"/>
      <c r="Z8" s="266"/>
      <c r="AA8" s="266"/>
      <c r="AB8" s="266"/>
      <c r="AC8" s="266"/>
    </row>
    <row r="9" spans="1:33" s="266" customFormat="1" ht="12.75" customHeight="1">
      <c r="A9" s="264"/>
      <c r="B9" s="256"/>
      <c r="C9" s="976"/>
      <c r="D9" s="820"/>
      <c r="E9" s="983"/>
      <c r="F9" s="971" t="s">
        <v>316</v>
      </c>
      <c r="G9" s="972"/>
      <c r="H9" s="972" t="s">
        <v>317</v>
      </c>
      <c r="I9" s="973"/>
      <c r="J9" s="264"/>
      <c r="K9" s="264"/>
      <c r="L9" s="264"/>
    </row>
    <row r="10" spans="1:33" s="266" customFormat="1" ht="12.75" customHeight="1">
      <c r="A10" s="264"/>
      <c r="B10" s="256"/>
      <c r="C10" s="976"/>
      <c r="D10" s="820"/>
      <c r="E10" s="983"/>
      <c r="F10" s="971"/>
      <c r="G10" s="972"/>
      <c r="H10" s="972"/>
      <c r="I10" s="973"/>
      <c r="J10" s="264"/>
      <c r="K10" s="264"/>
      <c r="L10" s="264"/>
    </row>
    <row r="11" spans="1:33" s="227" customFormat="1" ht="25.5" customHeight="1">
      <c r="A11" s="266"/>
      <c r="B11" s="256"/>
      <c r="C11" s="976"/>
      <c r="D11" s="820"/>
      <c r="E11" s="983"/>
      <c r="F11" s="980" t="str">
        <f>IF('Język - Language'!$B$30="Polski","rozliczenie za widzialne odsłony wg standardu IAB¹","settlement for visible ad views according to the IAB standard¹")</f>
        <v>rozliczenie za widzialne odsłony wg standardu IAB¹</v>
      </c>
      <c r="G11" s="942"/>
      <c r="H11" s="942"/>
      <c r="I11" s="981"/>
      <c r="J11" s="264"/>
      <c r="K11" s="264"/>
      <c r="L11" s="266"/>
      <c r="M11" s="266"/>
      <c r="N11" s="266"/>
      <c r="O11" s="266"/>
      <c r="P11" s="266"/>
      <c r="Q11" s="266"/>
      <c r="R11" s="266"/>
      <c r="S11" s="266"/>
      <c r="T11" s="266"/>
      <c r="U11" s="266"/>
      <c r="V11" s="266"/>
      <c r="W11" s="266"/>
      <c r="X11" s="266"/>
      <c r="Y11" s="266"/>
      <c r="Z11" s="266"/>
      <c r="AA11" s="266"/>
      <c r="AB11" s="266"/>
      <c r="AC11" s="266"/>
    </row>
    <row r="12" spans="1:33" s="227" customFormat="1" ht="12.75" customHeight="1">
      <c r="A12" s="266"/>
      <c r="B12" s="256"/>
      <c r="C12" s="977"/>
      <c r="D12" s="985"/>
      <c r="E12" s="984"/>
      <c r="F12" s="942" t="str">
        <f>IF('Język - Language'!$B$30="Polski","CENA RC","RC PRICE")</f>
        <v>CENA RC</v>
      </c>
      <c r="G12" s="942"/>
      <c r="H12" s="942" t="str">
        <f>IF('Język - Language'!$B$30="Polski","CENA RC","RC PRICE")</f>
        <v>CENA RC</v>
      </c>
      <c r="I12" s="942"/>
      <c r="J12" s="353"/>
      <c r="K12" s="264"/>
      <c r="L12" s="264"/>
      <c r="M12" s="266"/>
      <c r="N12" s="266"/>
      <c r="O12" s="266"/>
      <c r="P12" s="266"/>
      <c r="Q12" s="266"/>
      <c r="R12" s="266"/>
      <c r="S12" s="266"/>
      <c r="T12" s="266"/>
      <c r="U12" s="266"/>
      <c r="V12" s="266"/>
      <c r="W12" s="266"/>
      <c r="X12" s="266"/>
      <c r="Y12" s="266"/>
      <c r="Z12" s="266"/>
      <c r="AA12" s="266"/>
      <c r="AB12" s="266"/>
      <c r="AC12" s="266"/>
    </row>
    <row r="13" spans="1:33" s="227" customFormat="1" ht="12.75" customHeight="1">
      <c r="A13" s="266"/>
      <c r="B13" s="974" t="str">
        <f>IF('Język - Language'!$B$30="Polski","DNIÓWKA ODSŁONOWA","DAILY EMISSION")</f>
        <v>DNIÓWKA ODSŁONOWA</v>
      </c>
      <c r="C13" s="994" t="s">
        <v>265</v>
      </c>
      <c r="D13" s="349" t="str">
        <f>IF('Język - Language'!$B$30="Polski",CONCATENATE("Moduł ",CHAR(34),"Wiadomości",CHAR(34)),"Category 'News'")</f>
        <v>Moduł "Wiadomości"</v>
      </c>
      <c r="E13" s="258">
        <v>2000000</v>
      </c>
      <c r="F13" s="987">
        <v>184000</v>
      </c>
      <c r="G13" s="963"/>
      <c r="H13" s="987" t="s">
        <v>47</v>
      </c>
      <c r="I13" s="987"/>
      <c r="J13" s="353"/>
      <c r="K13" s="264"/>
      <c r="L13" s="264"/>
      <c r="M13" s="266"/>
      <c r="N13" s="266"/>
      <c r="O13" s="266"/>
      <c r="P13" s="266"/>
      <c r="Q13" s="266"/>
      <c r="R13" s="266"/>
      <c r="S13" s="266"/>
      <c r="T13" s="266"/>
      <c r="U13" s="266"/>
      <c r="V13" s="266"/>
      <c r="W13" s="266"/>
      <c r="X13" s="266"/>
      <c r="Y13" s="266"/>
      <c r="Z13" s="266"/>
      <c r="AA13" s="266"/>
      <c r="AB13" s="266"/>
      <c r="AC13" s="266"/>
    </row>
    <row r="14" spans="1:33" s="227" customFormat="1" ht="12.75" customHeight="1">
      <c r="A14" s="266"/>
      <c r="B14" s="974"/>
      <c r="C14" s="995"/>
      <c r="D14" s="349" t="str">
        <f>IF('Język - Language'!$B$30="Polski",CONCATENATE("Moduł ",CHAR(34),"Sport",CHAR(34)),"Category 'Sport'")</f>
        <v>Moduł "Sport"</v>
      </c>
      <c r="E14" s="258">
        <v>1400000</v>
      </c>
      <c r="F14" s="987">
        <v>129000</v>
      </c>
      <c r="G14" s="963"/>
      <c r="H14" s="987"/>
      <c r="I14" s="997"/>
      <c r="J14" s="264"/>
      <c r="K14" s="264"/>
      <c r="L14" s="264"/>
      <c r="M14" s="266"/>
      <c r="N14" s="266"/>
      <c r="O14" s="266"/>
      <c r="P14" s="266"/>
      <c r="Q14" s="266"/>
      <c r="R14" s="266"/>
      <c r="S14" s="266"/>
      <c r="T14" s="266"/>
      <c r="U14" s="266"/>
      <c r="V14" s="266"/>
      <c r="W14" s="266"/>
      <c r="X14" s="266"/>
      <c r="Y14" s="266"/>
      <c r="Z14" s="266"/>
      <c r="AA14" s="266"/>
      <c r="AB14" s="266"/>
      <c r="AC14" s="266"/>
    </row>
    <row r="15" spans="1:33" s="227" customFormat="1" ht="12.75" customHeight="1">
      <c r="A15" s="266"/>
      <c r="B15" s="974"/>
      <c r="C15" s="995"/>
      <c r="D15" s="349" t="str">
        <f>IF('Język - Language'!$B$30="Polski",CONCATENATE("Moduł ",CHAR(34),"Finanse",CHAR(34)),"Category 'Business'")</f>
        <v>Moduł "Finanse"</v>
      </c>
      <c r="E15" s="258">
        <v>1200000</v>
      </c>
      <c r="F15" s="987">
        <v>110000</v>
      </c>
      <c r="G15" s="963"/>
      <c r="H15" s="987"/>
      <c r="I15" s="997"/>
      <c r="J15" s="264"/>
      <c r="K15" s="264"/>
      <c r="L15" s="264"/>
      <c r="M15" s="266"/>
      <c r="N15" s="266"/>
      <c r="O15" s="266"/>
      <c r="P15" s="266"/>
      <c r="Q15" s="266"/>
      <c r="R15" s="266"/>
      <c r="S15" s="266"/>
      <c r="T15" s="266"/>
      <c r="U15" s="266"/>
      <c r="V15" s="266"/>
      <c r="W15" s="266"/>
      <c r="X15" s="266"/>
      <c r="Y15" s="266"/>
      <c r="Z15" s="266"/>
      <c r="AA15" s="266"/>
      <c r="AB15" s="266"/>
      <c r="AC15" s="266"/>
    </row>
    <row r="16" spans="1:33" s="227" customFormat="1" ht="12.75" customHeight="1">
      <c r="A16" s="266"/>
      <c r="B16" s="974"/>
      <c r="C16" s="995"/>
      <c r="D16" s="349" t="str">
        <f>IF('Język - Language'!$B$30="Polski",CONCATENATE("Moduł ",CHAR(34),"Gwiazdy",CHAR(34)),"Category 'Stars'")</f>
        <v>Moduł "Gwiazdy"</v>
      </c>
      <c r="E16" s="258">
        <v>1000000</v>
      </c>
      <c r="F16" s="987">
        <v>92000</v>
      </c>
      <c r="G16" s="963"/>
      <c r="H16" s="987"/>
      <c r="I16" s="997"/>
      <c r="J16" s="264"/>
      <c r="K16" s="264"/>
      <c r="L16" s="264"/>
      <c r="M16" s="266"/>
      <c r="N16" s="266"/>
      <c r="O16" s="266"/>
      <c r="P16" s="266"/>
      <c r="Q16" s="266"/>
      <c r="R16" s="266"/>
      <c r="S16" s="266"/>
      <c r="T16" s="266"/>
      <c r="U16" s="266"/>
      <c r="V16" s="266"/>
      <c r="W16" s="266"/>
      <c r="X16" s="266"/>
      <c r="Y16" s="266"/>
      <c r="Z16" s="266"/>
      <c r="AA16" s="266"/>
      <c r="AB16" s="266"/>
      <c r="AC16" s="266"/>
    </row>
    <row r="17" spans="1:33" s="227" customFormat="1" ht="12.75" customHeight="1">
      <c r="A17" s="266"/>
      <c r="B17" s="974"/>
      <c r="C17" s="995"/>
      <c r="D17" s="349" t="str">
        <f>IF('Język - Language'!$B$30="Polski",CONCATENATE("Moduł ",CHAR(34),"Moto",CHAR(34)),"Category 'Automotive'")</f>
        <v>Moduł "Moto"</v>
      </c>
      <c r="E17" s="258">
        <v>900000</v>
      </c>
      <c r="F17" s="987">
        <v>83000</v>
      </c>
      <c r="G17" s="963"/>
      <c r="H17" s="987"/>
      <c r="I17" s="997"/>
      <c r="J17" s="264"/>
      <c r="K17" s="264"/>
      <c r="L17" s="264"/>
      <c r="M17" s="266"/>
      <c r="N17" s="266"/>
      <c r="O17" s="266"/>
      <c r="P17" s="266"/>
      <c r="Q17" s="266"/>
      <c r="R17" s="266"/>
      <c r="S17" s="266"/>
      <c r="T17" s="266"/>
      <c r="U17" s="266"/>
      <c r="V17" s="266"/>
      <c r="W17" s="266"/>
      <c r="X17" s="266"/>
      <c r="Y17" s="266"/>
      <c r="Z17" s="266"/>
      <c r="AA17" s="266"/>
      <c r="AB17" s="266"/>
      <c r="AC17" s="266"/>
    </row>
    <row r="18" spans="1:33" s="227" customFormat="1" ht="12.75" customHeight="1">
      <c r="A18" s="266"/>
      <c r="B18" s="974"/>
      <c r="C18" s="995"/>
      <c r="D18" s="349" t="str">
        <f>IF('Język - Language'!$B$30="Polski",CONCATENATE("Moduł ",CHAR(34),"Styl Życia",CHAR(34)),"Category 'Lifestyle'")</f>
        <v>Moduł "Styl Życia"</v>
      </c>
      <c r="E18" s="258">
        <v>700000</v>
      </c>
      <c r="F18" s="987">
        <v>64000</v>
      </c>
      <c r="G18" s="963"/>
      <c r="H18" s="987"/>
      <c r="I18" s="997"/>
      <c r="J18" s="264"/>
      <c r="K18" s="264"/>
      <c r="L18" s="264"/>
      <c r="M18" s="266"/>
      <c r="N18" s="266"/>
      <c r="O18" s="266"/>
      <c r="P18" s="266"/>
      <c r="Q18" s="266"/>
      <c r="R18" s="266"/>
      <c r="S18" s="266"/>
      <c r="T18" s="266"/>
      <c r="U18" s="266"/>
      <c r="V18" s="266"/>
      <c r="W18" s="266"/>
      <c r="X18" s="266"/>
      <c r="Y18" s="266"/>
      <c r="Z18" s="266"/>
      <c r="AA18" s="266"/>
      <c r="AB18" s="266"/>
      <c r="AC18" s="266"/>
    </row>
    <row r="19" spans="1:33" s="227" customFormat="1" ht="12.75" customHeight="1">
      <c r="A19" s="266"/>
      <c r="B19" s="974"/>
      <c r="C19" s="995"/>
      <c r="D19" s="349" t="str">
        <f>IF('Język - Language'!$B$30="Polski",CONCATENATE("Moduł ",CHAR(34),"Turystyka",CHAR(34)),"Category 'Touring'")</f>
        <v>Moduł "Turystyka"</v>
      </c>
      <c r="E19" s="258">
        <v>600000</v>
      </c>
      <c r="F19" s="987">
        <v>55000</v>
      </c>
      <c r="G19" s="963"/>
      <c r="H19" s="987"/>
      <c r="I19" s="997"/>
      <c r="J19" s="264"/>
      <c r="K19" s="264"/>
      <c r="L19" s="264"/>
      <c r="M19" s="266"/>
      <c r="N19" s="266"/>
      <c r="O19" s="266"/>
      <c r="P19" s="266"/>
      <c r="Q19" s="266"/>
      <c r="R19" s="266"/>
      <c r="S19" s="266"/>
      <c r="T19" s="266"/>
      <c r="U19" s="266"/>
      <c r="V19" s="266"/>
      <c r="W19" s="266"/>
      <c r="X19" s="266"/>
      <c r="Y19" s="266"/>
      <c r="Z19" s="266"/>
      <c r="AA19" s="266"/>
      <c r="AB19" s="266"/>
      <c r="AC19" s="266"/>
    </row>
    <row r="20" spans="1:33" s="227" customFormat="1" ht="12.75" customHeight="1">
      <c r="A20" s="266"/>
      <c r="B20" s="974"/>
      <c r="C20" s="995"/>
      <c r="D20" s="585" t="str">
        <f>IF('Język - Language'!$B$30="Polski",CONCATENATE("Moduł ",CHAR(34),"Zobacz więcej",CHAR(34)),"Category 'See more'")</f>
        <v>Moduł "Zobacz więcej"</v>
      </c>
      <c r="E20" s="587">
        <v>500000</v>
      </c>
      <c r="F20" s="998">
        <v>46000</v>
      </c>
      <c r="G20" s="927"/>
      <c r="H20" s="998"/>
      <c r="I20" s="999"/>
      <c r="J20" s="264"/>
      <c r="K20" s="264"/>
      <c r="L20" s="264"/>
      <c r="M20" s="266"/>
      <c r="N20" s="266"/>
      <c r="O20" s="266"/>
      <c r="P20" s="266"/>
      <c r="Q20" s="266"/>
      <c r="R20" s="266"/>
      <c r="S20" s="266"/>
      <c r="T20" s="266"/>
      <c r="U20" s="266"/>
      <c r="V20" s="266"/>
      <c r="W20" s="266"/>
      <c r="X20" s="266"/>
      <c r="Y20" s="266"/>
      <c r="Z20" s="266"/>
      <c r="AA20" s="266"/>
      <c r="AB20" s="266"/>
      <c r="AC20" s="266"/>
    </row>
    <row r="21" spans="1:33" s="227" customFormat="1" ht="12.75" customHeight="1">
      <c r="A21" s="266"/>
      <c r="B21" s="974"/>
      <c r="C21" s="996"/>
      <c r="D21" s="584" t="str">
        <f>IF('Język - Language'!$B$30="Polski","Moduły rotacyjnie","Rotating in categories")</f>
        <v>Moduły rotacyjnie</v>
      </c>
      <c r="E21" s="259">
        <v>1000000</v>
      </c>
      <c r="F21" s="967">
        <v>75000</v>
      </c>
      <c r="G21" s="988"/>
      <c r="H21" s="967">
        <v>92000</v>
      </c>
      <c r="I21" s="968"/>
      <c r="J21" s="264"/>
      <c r="K21" s="264"/>
      <c r="L21" s="264"/>
      <c r="M21" s="266"/>
      <c r="N21" s="266"/>
      <c r="O21" s="266"/>
      <c r="P21" s="266"/>
      <c r="Q21" s="266"/>
      <c r="R21" s="266"/>
      <c r="S21" s="266"/>
      <c r="T21" s="266"/>
      <c r="U21" s="266"/>
      <c r="V21" s="266"/>
      <c r="W21" s="266"/>
      <c r="X21" s="266"/>
      <c r="Y21" s="266"/>
      <c r="Z21" s="266"/>
      <c r="AA21" s="266"/>
      <c r="AB21" s="266"/>
      <c r="AC21" s="266"/>
    </row>
    <row r="22" spans="1:33" s="266" customFormat="1" ht="25.5" customHeight="1">
      <c r="B22" s="974"/>
      <c r="C22" s="686" t="s">
        <v>315</v>
      </c>
      <c r="D22" s="675" t="s">
        <v>314</v>
      </c>
      <c r="E22" s="680">
        <v>1000000</v>
      </c>
      <c r="F22" s="924" t="s">
        <v>47</v>
      </c>
      <c r="G22" s="925"/>
      <c r="H22" s="924">
        <v>80000</v>
      </c>
      <c r="I22" s="990"/>
      <c r="J22" s="264"/>
      <c r="K22" s="264"/>
      <c r="L22" s="264"/>
    </row>
    <row r="23" spans="1:33" s="266" customFormat="1" ht="25.5" customHeight="1">
      <c r="B23" s="966"/>
      <c r="C23" s="641" t="s">
        <v>308</v>
      </c>
      <c r="D23" s="639" t="s">
        <v>245</v>
      </c>
      <c r="E23" s="258">
        <v>500000</v>
      </c>
      <c r="F23" s="989">
        <v>40000</v>
      </c>
      <c r="G23" s="925"/>
      <c r="H23" s="924">
        <v>40000</v>
      </c>
      <c r="I23" s="990"/>
      <c r="J23" s="264"/>
      <c r="K23" s="264"/>
      <c r="L23" s="264"/>
    </row>
    <row r="24" spans="1:33" s="266" customFormat="1" ht="25.5" customHeight="1">
      <c r="B24" s="975"/>
      <c r="C24" s="641" t="s">
        <v>309</v>
      </c>
      <c r="D24" s="676" t="s">
        <v>245</v>
      </c>
      <c r="E24" s="680">
        <v>500000</v>
      </c>
      <c r="F24" s="924">
        <v>40000</v>
      </c>
      <c r="G24" s="925"/>
      <c r="H24" s="924">
        <v>40000</v>
      </c>
      <c r="I24" s="990"/>
      <c r="J24" s="264"/>
      <c r="K24" s="264"/>
      <c r="L24" s="264"/>
    </row>
    <row r="25" spans="1:33" s="266" customFormat="1" ht="25.5" customHeight="1">
      <c r="B25" s="681"/>
      <c r="C25" s="683" t="s">
        <v>311</v>
      </c>
      <c r="D25" s="675" t="s">
        <v>312</v>
      </c>
      <c r="E25" s="680">
        <v>500000</v>
      </c>
      <c r="F25" s="924">
        <v>60000</v>
      </c>
      <c r="G25" s="925"/>
      <c r="H25" s="924">
        <v>60000</v>
      </c>
      <c r="I25" s="990"/>
      <c r="J25" s="264"/>
      <c r="K25" s="264"/>
      <c r="L25" s="264"/>
    </row>
    <row r="26" spans="1:33" s="266" customFormat="1" ht="25.5" customHeight="1" thickBot="1">
      <c r="B26" s="682"/>
      <c r="C26" s="684" t="s">
        <v>310</v>
      </c>
      <c r="D26" s="350" t="s">
        <v>313</v>
      </c>
      <c r="E26" s="685">
        <v>500000</v>
      </c>
      <c r="F26" s="1030">
        <v>60000</v>
      </c>
      <c r="G26" s="1031"/>
      <c r="H26" s="1030">
        <v>60000</v>
      </c>
      <c r="I26" s="1032"/>
      <c r="J26" s="264"/>
      <c r="K26" s="264"/>
      <c r="L26" s="264"/>
    </row>
    <row r="27" spans="1:33" s="227" customFormat="1" ht="12.75" customHeight="1" thickTop="1">
      <c r="A27" s="266"/>
      <c r="B27" s="339"/>
      <c r="C27" s="270"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row>
    <row r="28" spans="1:33" s="266" customFormat="1" ht="12.75" customHeight="1">
      <c r="B28" s="337"/>
      <c r="C28" s="546" t="s">
        <v>319</v>
      </c>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row>
    <row r="29" spans="1:33" s="266" customFormat="1" ht="12.75" customHeight="1">
      <c r="B29" s="337"/>
      <c r="C29" s="546" t="s">
        <v>318</v>
      </c>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row>
    <row r="30" spans="1:33" s="266" customFormat="1" ht="12.75" customHeight="1">
      <c r="B30" s="337"/>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row>
    <row r="31" spans="1:33" s="266" customFormat="1" ht="12.75" customHeight="1">
      <c r="B31" s="337"/>
      <c r="C31" s="338"/>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row>
    <row r="32" spans="1:33" s="266" customFormat="1" ht="12.75" customHeight="1">
      <c r="B32"/>
      <c r="C32" s="197" t="str">
        <f>IF('Język - Language'!$B$30="Polski","STANDARDOWE FORMATY REKLAMOWE","STANDARD AD FORMATS")</f>
        <v>STANDARDOWE FORMATY REKLAMOWE</v>
      </c>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row>
    <row r="33" spans="1:33" ht="12.75" customHeight="1">
      <c r="A33" s="266"/>
      <c r="B33" s="264"/>
      <c r="C33" s="993" t="str">
        <f>IF('Język - Language'!$B$30="Polski","KATEGORIE","CATEGORIES")</f>
        <v>KATEGORIE</v>
      </c>
      <c r="D33" s="1003" t="str">
        <f>IF('Język - Language'!$B$30="Polski","MIEJSCE EMISJI","PLACE OF EMISSION")</f>
        <v>MIEJSCE EMISJI</v>
      </c>
      <c r="E33" s="1004"/>
      <c r="F33" s="1000" t="str">
        <f>IF('Język - Language'!$B$30="Polski","RECTANGLE","RECTANGLE")</f>
        <v>RECTANGLE</v>
      </c>
      <c r="G33" s="1001"/>
      <c r="H33" s="1001" t="str">
        <f>IF('Język - Language'!$B$30="Polski","DOUBLE BILLBOARD,","DOUBLE BILLBOARD,")</f>
        <v>DOUBLE BILLBOARD,</v>
      </c>
      <c r="I33" s="1001"/>
      <c r="J33" s="1001" t="str">
        <f>IF('Język - Language'!$B$30="Polski","TRIPLE BILLBOARD,","TRIPLE BILLBOARD,")</f>
        <v>TRIPLE BILLBOARD,</v>
      </c>
      <c r="K33" s="1002"/>
      <c r="L33" s="1016" t="str">
        <f>IF('Język - Language'!$B$30="Polski","SCREENING 200³","SCREENING 200³")</f>
        <v>SCREENING 200³</v>
      </c>
      <c r="M33" s="1002"/>
      <c r="N33" s="1006" t="s">
        <v>50</v>
      </c>
      <c r="O33" s="899"/>
      <c r="P33" s="1006" t="s">
        <v>207</v>
      </c>
      <c r="Q33" s="898"/>
      <c r="R33" s="905" t="s">
        <v>208</v>
      </c>
      <c r="S33" s="906"/>
      <c r="T33" s="1028" t="s">
        <v>326</v>
      </c>
      <c r="U33" s="906"/>
      <c r="V33" s="264"/>
      <c r="W33" s="264"/>
      <c r="X33" s="266"/>
      <c r="Y33" s="266"/>
      <c r="Z33" s="266"/>
      <c r="AA33" s="266"/>
      <c r="AB33" s="266"/>
      <c r="AC33" s="266"/>
      <c r="AD33" s="266"/>
      <c r="AE33" s="266"/>
      <c r="AF33" s="266"/>
      <c r="AG33" s="266"/>
    </row>
    <row r="34" spans="1:33" s="140" customFormat="1" ht="12.75" customHeight="1">
      <c r="A34" s="266"/>
      <c r="B34" s="264"/>
      <c r="C34" s="976"/>
      <c r="D34" s="820"/>
      <c r="E34" s="1005"/>
      <c r="F34" s="980"/>
      <c r="G34" s="942"/>
      <c r="H34" s="942" t="str">
        <f>IF('Język - Language'!$B$30="Polski","FLOATING HALFPAGE","FLOATING HALFPATE")</f>
        <v>FLOATING HALFPAGE</v>
      </c>
      <c r="I34" s="942"/>
      <c r="J34" s="942"/>
      <c r="K34" s="947"/>
      <c r="L34" s="1017"/>
      <c r="M34" s="947"/>
      <c r="N34" s="1006"/>
      <c r="O34" s="899"/>
      <c r="P34" s="1006"/>
      <c r="Q34" s="898"/>
      <c r="R34" s="905"/>
      <c r="S34" s="906"/>
      <c r="T34" s="1028"/>
      <c r="U34" s="906"/>
      <c r="V34" s="264"/>
      <c r="W34" s="264"/>
      <c r="X34" s="266"/>
      <c r="Y34" s="266"/>
      <c r="Z34" s="266"/>
      <c r="AA34" s="266"/>
      <c r="AB34" s="266"/>
      <c r="AC34" s="266"/>
      <c r="AD34" s="266"/>
      <c r="AE34" s="266"/>
      <c r="AF34" s="266"/>
      <c r="AG34" s="266"/>
    </row>
    <row r="35" spans="1:33" s="140" customFormat="1" ht="12.75" customHeight="1">
      <c r="A35" s="266"/>
      <c r="B35" s="264"/>
      <c r="C35" s="976"/>
      <c r="D35" s="820"/>
      <c r="E35" s="1005"/>
      <c r="F35" s="971" t="str">
        <f>IF('Język - Language'!$B$30="Polski","MOBILE RECTANGLE","MOBILE RECTANGLE")</f>
        <v>MOBILE RECTANGLE</v>
      </c>
      <c r="G35" s="972"/>
      <c r="H35" s="942" t="str">
        <f>IF('Język - Language'!$B$30="Polski","HALFPAGE,","HALFPAGE,")</f>
        <v>HALFPAGE,</v>
      </c>
      <c r="I35" s="942"/>
      <c r="J35" s="942" t="str">
        <f>IF('Język - Language'!$B$30="Polski","WIDEBOARD","WIDEBOARD")</f>
        <v>WIDEBOARD</v>
      </c>
      <c r="K35" s="947"/>
      <c r="L35" s="1009" t="str">
        <f>IF('Język - Language'!$B$30="Polski","BANNER SKALOWALNY XL","ADJUSTED BANNER XL")</f>
        <v>BANNER SKALOWALNY XL</v>
      </c>
      <c r="M35" s="1010"/>
      <c r="N35" s="1007" t="s">
        <v>50</v>
      </c>
      <c r="O35" s="1008"/>
      <c r="P35" s="502"/>
      <c r="Q35" s="502"/>
      <c r="R35" s="502"/>
      <c r="S35" s="503"/>
      <c r="T35" s="696"/>
      <c r="U35" s="697"/>
      <c r="V35" s="264"/>
      <c r="W35" s="264"/>
      <c r="X35" s="266"/>
      <c r="Y35" s="266"/>
      <c r="Z35" s="266"/>
      <c r="AA35" s="266"/>
      <c r="AB35" s="266"/>
      <c r="AC35" s="266"/>
      <c r="AD35" s="266"/>
      <c r="AE35" s="266"/>
      <c r="AF35" s="266"/>
      <c r="AG35" s="266"/>
    </row>
    <row r="36" spans="1:33" s="140" customFormat="1" ht="12.75" customHeight="1">
      <c r="A36" s="266"/>
      <c r="B36" s="264"/>
      <c r="C36" s="976"/>
      <c r="D36" s="820"/>
      <c r="E36" s="1005"/>
      <c r="F36" s="971"/>
      <c r="G36" s="972"/>
      <c r="H36" s="972" t="str">
        <f>IF('Język - Language'!$B$30="Polski","MOBILE BANNER GÓRNY","MOBILE UPPER BANNER")</f>
        <v>MOBILE BANNER GÓRNY</v>
      </c>
      <c r="I36" s="972"/>
      <c r="J36" s="942"/>
      <c r="K36" s="947"/>
      <c r="L36" s="1009"/>
      <c r="M36" s="1010"/>
      <c r="N36" s="1007"/>
      <c r="O36" s="1008"/>
      <c r="P36" s="502"/>
      <c r="Q36" s="502"/>
      <c r="R36" s="502"/>
      <c r="S36" s="503"/>
      <c r="T36" s="696"/>
      <c r="U36" s="697"/>
      <c r="V36" s="264"/>
      <c r="W36" s="264"/>
      <c r="X36" s="266"/>
      <c r="Y36" s="266"/>
      <c r="Z36" s="266"/>
      <c r="AA36" s="266"/>
      <c r="AB36" s="266"/>
      <c r="AC36" s="266"/>
      <c r="AD36" s="266"/>
      <c r="AE36" s="266"/>
      <c r="AF36" s="266"/>
      <c r="AG36" s="266"/>
    </row>
    <row r="37" spans="1:33" s="105" customFormat="1" ht="25.5" customHeight="1">
      <c r="A37" s="266"/>
      <c r="B37" s="264"/>
      <c r="C37" s="976"/>
      <c r="D37" s="820"/>
      <c r="E37" s="1005"/>
      <c r="F37" s="980" t="str">
        <f>IF('Język - Language'!$B$30="Polski","rozliczenie za widzialne odsłony wg standardu IAB, po statystykach wewnętrznych WPM¹","settlement for visible ad views according to the IAB standard, based on internal WPM statistics¹")</f>
        <v>rozliczenie za widzialne odsłony wg standardu IAB, po statystykach wewnętrznych WPM¹</v>
      </c>
      <c r="G37" s="942"/>
      <c r="H37" s="942"/>
      <c r="I37" s="942"/>
      <c r="J37" s="942"/>
      <c r="K37" s="942"/>
      <c r="L37" s="942"/>
      <c r="M37" s="942"/>
      <c r="N37" s="942"/>
      <c r="O37" s="947"/>
      <c r="P37" s="1028" t="s">
        <v>199</v>
      </c>
      <c r="Q37" s="905"/>
      <c r="R37" s="905"/>
      <c r="S37" s="905"/>
      <c r="T37" s="905"/>
      <c r="U37" s="906"/>
      <c r="V37" s="264"/>
      <c r="W37" s="264"/>
      <c r="X37" s="266"/>
      <c r="Y37" s="266"/>
      <c r="Z37" s="266"/>
      <c r="AA37" s="266"/>
      <c r="AB37" s="266"/>
      <c r="AC37" s="266"/>
      <c r="AD37" s="266"/>
      <c r="AE37" s="266"/>
      <c r="AF37" s="266"/>
      <c r="AG37" s="266"/>
    </row>
    <row r="38" spans="1:33" s="266" customFormat="1" ht="12.75" customHeight="1">
      <c r="B38" s="264"/>
      <c r="C38" s="976"/>
      <c r="D38" s="820"/>
      <c r="E38" s="1005"/>
      <c r="F38" s="980" t="s">
        <v>86</v>
      </c>
      <c r="G38" s="1015"/>
      <c r="H38" s="980" t="s">
        <v>86</v>
      </c>
      <c r="I38" s="1015"/>
      <c r="J38" s="980" t="s">
        <v>86</v>
      </c>
      <c r="K38" s="1015"/>
      <c r="L38" s="980" t="s">
        <v>86</v>
      </c>
      <c r="M38" s="1015"/>
      <c r="N38" s="1029" t="s">
        <v>86</v>
      </c>
      <c r="O38" s="947"/>
      <c r="P38" s="1029" t="s">
        <v>86</v>
      </c>
      <c r="Q38" s="947"/>
      <c r="R38" s="1029" t="s">
        <v>86</v>
      </c>
      <c r="S38" s="947"/>
      <c r="T38" s="1028" t="s">
        <v>86</v>
      </c>
      <c r="U38" s="906"/>
      <c r="V38" s="264"/>
      <c r="W38" s="264"/>
    </row>
    <row r="39" spans="1:33" s="94" customFormat="1" ht="12.75" customHeight="1">
      <c r="A39" s="266"/>
      <c r="B39" s="264"/>
      <c r="C39" s="977"/>
      <c r="D39" s="820"/>
      <c r="E39" s="1005"/>
      <c r="F39" s="428" t="s">
        <v>167</v>
      </c>
      <c r="G39" s="427" t="s">
        <v>168</v>
      </c>
      <c r="H39" s="428" t="s">
        <v>167</v>
      </c>
      <c r="I39" s="427" t="s">
        <v>168</v>
      </c>
      <c r="J39" s="428" t="s">
        <v>167</v>
      </c>
      <c r="K39" s="427" t="s">
        <v>168</v>
      </c>
      <c r="L39" s="428" t="s">
        <v>167</v>
      </c>
      <c r="M39" s="427" t="s">
        <v>168</v>
      </c>
      <c r="N39" s="428" t="s">
        <v>167</v>
      </c>
      <c r="O39" s="426" t="s">
        <v>168</v>
      </c>
      <c r="P39" s="500" t="s">
        <v>167</v>
      </c>
      <c r="Q39" s="501" t="s">
        <v>168</v>
      </c>
      <c r="R39" s="500" t="s">
        <v>167</v>
      </c>
      <c r="S39" s="501" t="s">
        <v>168</v>
      </c>
      <c r="T39" s="693" t="s">
        <v>167</v>
      </c>
      <c r="U39" s="694" t="s">
        <v>168</v>
      </c>
      <c r="V39" s="264"/>
      <c r="W39" s="264"/>
      <c r="X39" s="266"/>
      <c r="Y39" s="266"/>
      <c r="Z39" s="266"/>
      <c r="AA39" s="266"/>
      <c r="AB39" s="266"/>
      <c r="AC39" s="266"/>
      <c r="AD39" s="266"/>
      <c r="AE39" s="266"/>
      <c r="AF39" s="266"/>
      <c r="AG39" s="266"/>
    </row>
    <row r="40" spans="1:33" s="227" customFormat="1" ht="36" customHeight="1">
      <c r="A40" s="266"/>
      <c r="B40" s="966" t="str">
        <f>IF('Język - Language'!$B$30="Polski","EMISJA ODSŁONOWA","CPM EMISSION")</f>
        <v>EMISJA ODSŁONOWA</v>
      </c>
      <c r="C40" s="265" t="str">
        <f>IF('Język - Language'!$B$30="Polski","WPM ZASIĘG","WPM REACH")</f>
        <v>WPM ZASIĘG</v>
      </c>
      <c r="D40" s="742" t="str">
        <f>IF('Język - Language'!$B$30="Polski","WPM Zasięg (bez stron głównych o2 i WP oraz bez serwisów pocztowych)","WPM Reach (without o2 HP, WP HP and e-mail services)")</f>
        <v>WPM Zasięg (bez stron głównych o2 i WP oraz bez serwisów pocztowych)</v>
      </c>
      <c r="E40" s="743"/>
      <c r="F40" s="408">
        <v>27</v>
      </c>
      <c r="G40" s="429">
        <v>32</v>
      </c>
      <c r="H40" s="417">
        <v>41</v>
      </c>
      <c r="I40" s="429">
        <v>49</v>
      </c>
      <c r="J40" s="417">
        <v>54</v>
      </c>
      <c r="K40" s="441">
        <v>65</v>
      </c>
      <c r="L40" s="699" t="s">
        <v>47</v>
      </c>
      <c r="M40" s="700" t="s">
        <v>47</v>
      </c>
      <c r="N40" s="699" t="s">
        <v>47</v>
      </c>
      <c r="O40" s="700" t="s">
        <v>47</v>
      </c>
      <c r="P40" s="505">
        <v>21</v>
      </c>
      <c r="Q40" s="518" t="s">
        <v>47</v>
      </c>
      <c r="R40" s="505">
        <v>27</v>
      </c>
      <c r="S40" s="526" t="s">
        <v>47</v>
      </c>
      <c r="T40" s="505">
        <v>75</v>
      </c>
      <c r="U40" s="698">
        <v>90</v>
      </c>
      <c r="V40" s="264"/>
      <c r="W40" s="264"/>
      <c r="X40" s="266"/>
      <c r="Y40" s="266"/>
      <c r="Z40" s="266"/>
      <c r="AA40" s="266"/>
      <c r="AB40" s="266"/>
      <c r="AC40" s="266"/>
      <c r="AD40" s="266"/>
      <c r="AE40" s="266"/>
      <c r="AF40" s="266"/>
      <c r="AG40" s="266"/>
    </row>
    <row r="41" spans="1:33" s="227" customFormat="1" ht="36" customHeight="1">
      <c r="A41" s="266"/>
      <c r="B41" s="966"/>
      <c r="C41" s="265" t="s">
        <v>51</v>
      </c>
      <c r="D41" s="969" t="str">
        <f>IF('Język - Language'!$B$30="Polski","WP SG, o2 SG²","WP HP, o2 HP²")</f>
        <v>WP SG, o2 SG²</v>
      </c>
      <c r="E41" s="970"/>
      <c r="F41" s="691" t="s">
        <v>47</v>
      </c>
      <c r="G41" s="692" t="s">
        <v>47</v>
      </c>
      <c r="H41" s="407">
        <v>80</v>
      </c>
      <c r="I41" s="430">
        <v>96</v>
      </c>
      <c r="J41" s="407">
        <v>105</v>
      </c>
      <c r="K41" s="430">
        <v>126</v>
      </c>
      <c r="L41" s="412" t="s">
        <v>47</v>
      </c>
      <c r="M41" s="432" t="s">
        <v>47</v>
      </c>
      <c r="N41" s="420" t="s">
        <v>47</v>
      </c>
      <c r="O41" s="421" t="s">
        <v>47</v>
      </c>
      <c r="P41" s="512" t="s">
        <v>47</v>
      </c>
      <c r="Q41" s="518" t="s">
        <v>47</v>
      </c>
      <c r="R41" s="513" t="s">
        <v>47</v>
      </c>
      <c r="S41" s="526" t="s">
        <v>47</v>
      </c>
      <c r="T41" s="513" t="s">
        <v>47</v>
      </c>
      <c r="U41" s="526" t="s">
        <v>47</v>
      </c>
      <c r="V41" s="264"/>
      <c r="W41" s="264"/>
      <c r="X41" s="266"/>
      <c r="Y41" s="266"/>
      <c r="Z41" s="266"/>
      <c r="AA41" s="266"/>
      <c r="AB41" s="266"/>
      <c r="AC41" s="266"/>
      <c r="AD41" s="266"/>
      <c r="AE41" s="266"/>
      <c r="AF41" s="266"/>
      <c r="AG41" s="266"/>
    </row>
    <row r="42" spans="1:33" s="227" customFormat="1" ht="12.75" customHeight="1" outlineLevel="1">
      <c r="A42" s="266"/>
      <c r="B42" s="966"/>
      <c r="C42" s="976" t="str">
        <f>IF('Język - Language'!$B$30="Polski","BIZNES","BUSINESS")</f>
        <v>BIZNES</v>
      </c>
      <c r="D42" s="368" t="s">
        <v>36</v>
      </c>
      <c r="E42" s="369"/>
      <c r="F42" s="409">
        <f>ROUND(F45*(1+0.3),-1)</f>
        <v>120</v>
      </c>
      <c r="G42" s="434">
        <v>144</v>
      </c>
      <c r="H42" s="409">
        <f>ROUND(H45*(1+0.3),-1)</f>
        <v>180</v>
      </c>
      <c r="I42" s="434">
        <v>216</v>
      </c>
      <c r="J42" s="409">
        <f>ROUND(J45*(1+0.3),-1)</f>
        <v>230</v>
      </c>
      <c r="K42" s="434">
        <v>276</v>
      </c>
      <c r="L42" s="409">
        <v>270</v>
      </c>
      <c r="M42" s="434">
        <v>324</v>
      </c>
      <c r="N42" s="409">
        <f>ROUND(N45*(1+0.3),-1)</f>
        <v>310</v>
      </c>
      <c r="O42" s="476">
        <v>372</v>
      </c>
      <c r="P42" s="473">
        <f>ROUND(P45*(1+0.3),-1)</f>
        <v>90</v>
      </c>
      <c r="Q42" s="522" t="s">
        <v>47</v>
      </c>
      <c r="R42" s="515">
        <f>ROUND(R45*(1+0.3),-1)</f>
        <v>120</v>
      </c>
      <c r="S42" s="530" t="s">
        <v>47</v>
      </c>
      <c r="T42" s="515" t="s">
        <v>47</v>
      </c>
      <c r="U42" s="530" t="s">
        <v>47</v>
      </c>
      <c r="V42" s="264"/>
      <c r="W42" s="264"/>
      <c r="X42" s="266"/>
      <c r="Y42" s="266"/>
      <c r="Z42" s="266"/>
      <c r="AA42" s="266"/>
      <c r="AB42" s="266"/>
      <c r="AC42" s="266"/>
      <c r="AD42" s="266"/>
      <c r="AE42" s="266"/>
      <c r="AF42" s="266"/>
      <c r="AG42" s="266"/>
    </row>
    <row r="43" spans="1:33" s="266" customFormat="1" ht="12.75" customHeight="1" outlineLevel="1">
      <c r="B43" s="966"/>
      <c r="C43" s="976"/>
      <c r="D43" s="372" t="s">
        <v>328</v>
      </c>
      <c r="E43" s="373"/>
      <c r="F43" s="474">
        <f>ROUND(F84*(1+0.3),-1)</f>
        <v>60</v>
      </c>
      <c r="G43" s="478">
        <v>72</v>
      </c>
      <c r="H43" s="474">
        <f>ROUND(H84*(1+0.3),-1)</f>
        <v>90</v>
      </c>
      <c r="I43" s="478">
        <v>108</v>
      </c>
      <c r="J43" s="474">
        <f>ROUND(J84*(1+0.3),-1)</f>
        <v>120</v>
      </c>
      <c r="K43" s="478">
        <v>144</v>
      </c>
      <c r="L43" s="474">
        <v>140</v>
      </c>
      <c r="M43" s="478">
        <v>168</v>
      </c>
      <c r="N43" s="474">
        <f>ROUND(N84*(1+0.3),-1)</f>
        <v>160</v>
      </c>
      <c r="O43" s="478">
        <v>192</v>
      </c>
      <c r="P43" s="474">
        <f>ROUND(P84*(1+0.3),-1)</f>
        <v>40</v>
      </c>
      <c r="Q43" s="523" t="s">
        <v>47</v>
      </c>
      <c r="R43" s="516">
        <f>ROUND(R84*(1+0.3),-1)</f>
        <v>60</v>
      </c>
      <c r="S43" s="531" t="s">
        <v>47</v>
      </c>
      <c r="T43" s="516" t="s">
        <v>47</v>
      </c>
      <c r="U43" s="531" t="s">
        <v>47</v>
      </c>
      <c r="V43" s="264"/>
      <c r="W43" s="264"/>
    </row>
    <row r="44" spans="1:33" s="266" customFormat="1" ht="12.75" customHeight="1" outlineLevel="1">
      <c r="B44" s="966"/>
      <c r="C44" s="976"/>
      <c r="D44" s="704" t="s">
        <v>127</v>
      </c>
      <c r="E44" s="705"/>
      <c r="F44" s="475">
        <f>ROUND(F45*(1+0.3),-1)</f>
        <v>120</v>
      </c>
      <c r="G44" s="477">
        <v>144</v>
      </c>
      <c r="H44" s="475">
        <f>ROUND(H45*(1+0.3),-1)</f>
        <v>180</v>
      </c>
      <c r="I44" s="477">
        <v>216</v>
      </c>
      <c r="J44" s="475">
        <f>ROUND(J45*(1+0.3),-1)</f>
        <v>230</v>
      </c>
      <c r="K44" s="477">
        <v>276</v>
      </c>
      <c r="L44" s="475">
        <v>270</v>
      </c>
      <c r="M44" s="477">
        <v>324</v>
      </c>
      <c r="N44" s="475">
        <f>ROUND(N45*(1+0.3),-1)</f>
        <v>310</v>
      </c>
      <c r="O44" s="477">
        <v>372</v>
      </c>
      <c r="P44" s="475">
        <f>ROUND(P45*(1+0.3),-1)</f>
        <v>90</v>
      </c>
      <c r="Q44" s="520" t="s">
        <v>47</v>
      </c>
      <c r="R44" s="517">
        <f>ROUND(R45*(1+0.3),-1)</f>
        <v>120</v>
      </c>
      <c r="S44" s="528" t="s">
        <v>47</v>
      </c>
      <c r="T44" s="517" t="s">
        <v>47</v>
      </c>
      <c r="U44" s="528" t="s">
        <v>47</v>
      </c>
      <c r="V44" s="264"/>
      <c r="W44" s="264"/>
    </row>
    <row r="45" spans="1:33" s="266" customFormat="1" ht="36" customHeight="1">
      <c r="B45" s="966"/>
      <c r="C45" s="977"/>
      <c r="D45" s="742" t="str">
        <f>D42&amp;", "&amp;D43&amp;" , "&amp;D44</f>
        <v>WP Finanse, Praca.money.pl , Portal Money.pl</v>
      </c>
      <c r="E45" s="743"/>
      <c r="F45" s="701">
        <v>90</v>
      </c>
      <c r="G45" s="441">
        <v>108</v>
      </c>
      <c r="H45" s="701">
        <v>135</v>
      </c>
      <c r="I45" s="441">
        <v>162</v>
      </c>
      <c r="J45" s="701">
        <v>180</v>
      </c>
      <c r="K45" s="441">
        <v>216</v>
      </c>
      <c r="L45" s="702" t="s">
        <v>47</v>
      </c>
      <c r="M45" s="703" t="s">
        <v>47</v>
      </c>
      <c r="N45" s="702">
        <v>235</v>
      </c>
      <c r="O45" s="703">
        <v>282</v>
      </c>
      <c r="P45" s="504">
        <v>68</v>
      </c>
      <c r="Q45" s="521" t="s">
        <v>47</v>
      </c>
      <c r="R45" s="504">
        <v>90</v>
      </c>
      <c r="S45" s="529" t="s">
        <v>47</v>
      </c>
      <c r="T45" s="504" t="s">
        <v>47</v>
      </c>
      <c r="U45" s="529" t="s">
        <v>47</v>
      </c>
      <c r="V45" s="264"/>
      <c r="W45" s="264"/>
    </row>
    <row r="46" spans="1:33" s="227" customFormat="1" ht="12.75" customHeight="1" outlineLevel="1">
      <c r="A46" s="266"/>
      <c r="B46" s="966"/>
      <c r="C46" s="992" t="str">
        <f>IF('Język - Language'!$B$30="Polski","INFO I SPORT","INFO AND SPORT")</f>
        <v>INFO I SPORT</v>
      </c>
      <c r="D46" s="368" t="s">
        <v>34</v>
      </c>
      <c r="E46" s="369"/>
      <c r="F46" s="411">
        <f>ROUND(F52*(1+0.3),-1)</f>
        <v>70</v>
      </c>
      <c r="G46" s="436">
        <v>84</v>
      </c>
      <c r="H46" s="411">
        <f>ROUND(H52*(1+0.3),-1)</f>
        <v>100</v>
      </c>
      <c r="I46" s="436">
        <v>120</v>
      </c>
      <c r="J46" s="411">
        <f>ROUND(J52*(1+0.3),-1)</f>
        <v>140</v>
      </c>
      <c r="K46" s="436">
        <v>168</v>
      </c>
      <c r="L46" s="411">
        <v>160</v>
      </c>
      <c r="M46" s="436">
        <v>192</v>
      </c>
      <c r="N46" s="411">
        <f>ROUND(N52*(1+0.3),-1)</f>
        <v>190</v>
      </c>
      <c r="O46" s="436">
        <v>228</v>
      </c>
      <c r="P46" s="473">
        <f>ROUND(P52*(1+0.3),-1)</f>
        <v>50</v>
      </c>
      <c r="Q46" s="522" t="s">
        <v>47</v>
      </c>
      <c r="R46" s="515">
        <f>ROUND(R52*(1+0.3),-1)</f>
        <v>70</v>
      </c>
      <c r="S46" s="530" t="s">
        <v>47</v>
      </c>
      <c r="T46" s="515" t="s">
        <v>47</v>
      </c>
      <c r="U46" s="530" t="s">
        <v>47</v>
      </c>
      <c r="V46" s="264"/>
      <c r="W46" s="264"/>
      <c r="X46" s="266"/>
      <c r="Y46" s="266"/>
      <c r="Z46" s="266"/>
      <c r="AA46" s="266"/>
      <c r="AB46" s="266"/>
      <c r="AC46" s="266"/>
      <c r="AD46" s="266"/>
      <c r="AE46" s="266"/>
      <c r="AF46" s="266"/>
      <c r="AG46" s="266"/>
    </row>
    <row r="47" spans="1:33" s="266" customFormat="1" ht="12.75" customHeight="1" outlineLevel="1">
      <c r="B47" s="966"/>
      <c r="C47" s="976"/>
      <c r="D47" s="372" t="s">
        <v>83</v>
      </c>
      <c r="E47" s="373"/>
      <c r="F47" s="413">
        <f>ROUND(F52*(1+0.3),-1)</f>
        <v>70</v>
      </c>
      <c r="G47" s="437">
        <v>84</v>
      </c>
      <c r="H47" s="413">
        <f>ROUND(H52*(1+0.3),-1)</f>
        <v>100</v>
      </c>
      <c r="I47" s="437">
        <v>120</v>
      </c>
      <c r="J47" s="413">
        <f>ROUND(J52*(1+0.3),-1)</f>
        <v>140</v>
      </c>
      <c r="K47" s="437">
        <v>168</v>
      </c>
      <c r="L47" s="413">
        <v>160</v>
      </c>
      <c r="M47" s="437">
        <v>192</v>
      </c>
      <c r="N47" s="413">
        <f>ROUND(N52*(1+0.3),-1)</f>
        <v>190</v>
      </c>
      <c r="O47" s="437">
        <v>228</v>
      </c>
      <c r="P47" s="474">
        <f>ROUND(P52*(1+0.3),-1)</f>
        <v>50</v>
      </c>
      <c r="Q47" s="523" t="s">
        <v>47</v>
      </c>
      <c r="R47" s="516">
        <f>ROUND(R52*(1+0.3),-1)</f>
        <v>70</v>
      </c>
      <c r="S47" s="531" t="s">
        <v>47</v>
      </c>
      <c r="T47" s="516" t="s">
        <v>47</v>
      </c>
      <c r="U47" s="531" t="s">
        <v>47</v>
      </c>
      <c r="V47" s="264"/>
      <c r="W47" s="264"/>
    </row>
    <row r="48" spans="1:33" s="266" customFormat="1" ht="12.75" customHeight="1" outlineLevel="1">
      <c r="B48" s="966"/>
      <c r="C48" s="976"/>
      <c r="D48" s="372" t="s">
        <v>128</v>
      </c>
      <c r="E48" s="373"/>
      <c r="F48" s="413">
        <f>ROUND(F52*(1+0.3),-1)</f>
        <v>70</v>
      </c>
      <c r="G48" s="437">
        <v>84</v>
      </c>
      <c r="H48" s="413">
        <f>ROUND(H52*(1+0.3),-1)</f>
        <v>100</v>
      </c>
      <c r="I48" s="437">
        <v>120</v>
      </c>
      <c r="J48" s="413">
        <f>ROUND(J52*(1+0.3),-1)</f>
        <v>140</v>
      </c>
      <c r="K48" s="437">
        <v>168</v>
      </c>
      <c r="L48" s="413">
        <v>160</v>
      </c>
      <c r="M48" s="437">
        <v>192</v>
      </c>
      <c r="N48" s="413">
        <f>ROUND(N52*(1+0.3),-1)</f>
        <v>190</v>
      </c>
      <c r="O48" s="437">
        <v>228</v>
      </c>
      <c r="P48" s="474">
        <f>ROUND(P52*(1+0.3),-1)</f>
        <v>50</v>
      </c>
      <c r="Q48" s="523" t="s">
        <v>47</v>
      </c>
      <c r="R48" s="516">
        <f>ROUND(R52*(1+0.3),-1)</f>
        <v>70</v>
      </c>
      <c r="S48" s="531" t="s">
        <v>47</v>
      </c>
      <c r="T48" s="516" t="s">
        <v>47</v>
      </c>
      <c r="U48" s="531" t="s">
        <v>47</v>
      </c>
      <c r="V48" s="264"/>
      <c r="W48" s="264"/>
    </row>
    <row r="49" spans="1:33" s="266" customFormat="1" ht="12.75" customHeight="1" outlineLevel="1">
      <c r="B49" s="966"/>
      <c r="C49" s="976"/>
      <c r="D49" s="372" t="s">
        <v>25</v>
      </c>
      <c r="E49" s="373"/>
      <c r="F49" s="413">
        <f>ROUND(F52*(1+0.3),-1)</f>
        <v>70</v>
      </c>
      <c r="G49" s="437">
        <v>84</v>
      </c>
      <c r="H49" s="413">
        <f>ROUND(H52*(1+0.3),-1)</f>
        <v>100</v>
      </c>
      <c r="I49" s="437">
        <v>120</v>
      </c>
      <c r="J49" s="413">
        <f>ROUND(J52*(1+0.3),-1)</f>
        <v>140</v>
      </c>
      <c r="K49" s="437">
        <v>168</v>
      </c>
      <c r="L49" s="413">
        <v>160</v>
      </c>
      <c r="M49" s="437">
        <v>192</v>
      </c>
      <c r="N49" s="413">
        <f>ROUND(N52*(1+0.3),-1)</f>
        <v>190</v>
      </c>
      <c r="O49" s="437">
        <v>228</v>
      </c>
      <c r="P49" s="474">
        <f>ROUND(P52*(1+0.3),-1)</f>
        <v>50</v>
      </c>
      <c r="Q49" s="523" t="s">
        <v>47</v>
      </c>
      <c r="R49" s="516">
        <f>ROUND(R52*(1+0.3),-1)</f>
        <v>70</v>
      </c>
      <c r="S49" s="531" t="s">
        <v>47</v>
      </c>
      <c r="T49" s="516" t="s">
        <v>47</v>
      </c>
      <c r="U49" s="531" t="s">
        <v>47</v>
      </c>
      <c r="V49" s="264"/>
      <c r="W49" s="264"/>
    </row>
    <row r="50" spans="1:33" s="266" customFormat="1" ht="12.75" customHeight="1" outlineLevel="1">
      <c r="B50" s="966"/>
      <c r="C50" s="976"/>
      <c r="D50" s="372" t="s">
        <v>303</v>
      </c>
      <c r="E50" s="373"/>
      <c r="F50" s="667">
        <f>ROUND(F52*(1+0.3),-1)</f>
        <v>70</v>
      </c>
      <c r="G50" s="668">
        <v>84</v>
      </c>
      <c r="H50" s="667">
        <f>ROUND(H52*(1+0.3),-1)</f>
        <v>100</v>
      </c>
      <c r="I50" s="668">
        <v>120</v>
      </c>
      <c r="J50" s="667">
        <f>ROUND(J52*(1+0.3),-1)</f>
        <v>140</v>
      </c>
      <c r="K50" s="668">
        <v>168</v>
      </c>
      <c r="L50" s="667">
        <v>160</v>
      </c>
      <c r="M50" s="668">
        <v>192</v>
      </c>
      <c r="N50" s="667">
        <f>ROUND(N52*(1+0.3),-1)</f>
        <v>190</v>
      </c>
      <c r="O50" s="668">
        <v>228</v>
      </c>
      <c r="P50" s="474">
        <f>ROUND(P52*(1+0.3),-1)</f>
        <v>50</v>
      </c>
      <c r="Q50" s="523" t="s">
        <v>47</v>
      </c>
      <c r="R50" s="516">
        <f>ROUND(R52*(1+0.3),-1)</f>
        <v>70</v>
      </c>
      <c r="S50" s="531" t="s">
        <v>47</v>
      </c>
      <c r="T50" s="516" t="s">
        <v>47</v>
      </c>
      <c r="U50" s="531" t="s">
        <v>47</v>
      </c>
      <c r="V50" s="264"/>
      <c r="W50" s="264"/>
    </row>
    <row r="51" spans="1:33" s="266" customFormat="1" ht="12.75" customHeight="1" outlineLevel="1">
      <c r="B51" s="966"/>
      <c r="C51" s="976"/>
      <c r="D51" s="372" t="s">
        <v>129</v>
      </c>
      <c r="E51" s="373"/>
      <c r="F51" s="415">
        <f>ROUND(F52*(1+0.3),-1)</f>
        <v>70</v>
      </c>
      <c r="G51" s="438">
        <v>84</v>
      </c>
      <c r="H51" s="415">
        <f>ROUND(H52*(1+0.3),-1)</f>
        <v>100</v>
      </c>
      <c r="I51" s="438">
        <v>120</v>
      </c>
      <c r="J51" s="415">
        <f>ROUND(J52*(1+0.3),-1)</f>
        <v>140</v>
      </c>
      <c r="K51" s="438">
        <v>168</v>
      </c>
      <c r="L51" s="415">
        <v>160</v>
      </c>
      <c r="M51" s="438">
        <v>192</v>
      </c>
      <c r="N51" s="415">
        <f>ROUND(N52*(1+0.3),-1)</f>
        <v>190</v>
      </c>
      <c r="O51" s="438">
        <v>228</v>
      </c>
      <c r="P51" s="514">
        <f>ROUND(P52*(1+0.3),-1)</f>
        <v>50</v>
      </c>
      <c r="Q51" s="524" t="s">
        <v>47</v>
      </c>
      <c r="R51" s="445">
        <f>ROUND(R52*(1+0.3),-1)</f>
        <v>70</v>
      </c>
      <c r="S51" s="532" t="s">
        <v>47</v>
      </c>
      <c r="T51" s="445" t="s">
        <v>47</v>
      </c>
      <c r="U51" s="532" t="s">
        <v>47</v>
      </c>
      <c r="V51" s="264"/>
      <c r="W51" s="264"/>
    </row>
    <row r="52" spans="1:33" s="266" customFormat="1" ht="36" customHeight="1">
      <c r="B52" s="966"/>
      <c r="C52" s="977"/>
      <c r="D52" s="969" t="str">
        <f>D46&amp;", "&amp;D47&amp;", "&amp;D48&amp;", "&amp;D49&amp;", "&amp;D50&amp;", "&amp;D51</f>
        <v>WP Wiadomości, WP Opinie, WP Pogoda, WP SportoweFakty, WP Wroclaw, Wawalove</v>
      </c>
      <c r="E52" s="970"/>
      <c r="F52" s="418">
        <v>55</v>
      </c>
      <c r="G52" s="432">
        <v>65</v>
      </c>
      <c r="H52" s="418">
        <v>80</v>
      </c>
      <c r="I52" s="432">
        <v>96</v>
      </c>
      <c r="J52" s="418">
        <v>105</v>
      </c>
      <c r="K52" s="432">
        <v>126</v>
      </c>
      <c r="L52" s="412" t="s">
        <v>47</v>
      </c>
      <c r="M52" s="432" t="s">
        <v>47</v>
      </c>
      <c r="N52" s="412">
        <v>145</v>
      </c>
      <c r="O52" s="432">
        <v>175</v>
      </c>
      <c r="P52" s="506">
        <v>40</v>
      </c>
      <c r="Q52" s="518" t="s">
        <v>47</v>
      </c>
      <c r="R52" s="508">
        <v>55</v>
      </c>
      <c r="S52" s="526" t="s">
        <v>47</v>
      </c>
      <c r="T52" s="508" t="s">
        <v>47</v>
      </c>
      <c r="U52" s="526" t="s">
        <v>47</v>
      </c>
      <c r="V52" s="264"/>
      <c r="W52" s="264"/>
    </row>
    <row r="53" spans="1:33" s="266" customFormat="1" ht="12.75" hidden="1" customHeight="1" outlineLevel="1">
      <c r="B53" s="966"/>
      <c r="C53" s="1011" t="str">
        <f>IF('Język - Language'!$B$30="Polski","MOTORYZACJA","AUTOMOTIVE")</f>
        <v>MOTORYZACJA</v>
      </c>
      <c r="D53" s="368" t="s">
        <v>28</v>
      </c>
      <c r="E53" s="369"/>
      <c r="F53" s="411">
        <f>ROUND(F56*(1+0.3),-1)</f>
        <v>60</v>
      </c>
      <c r="G53" s="436">
        <v>72</v>
      </c>
      <c r="H53" s="411">
        <f>ROUND(H56*(1+0.3),-1)</f>
        <v>90</v>
      </c>
      <c r="I53" s="436">
        <v>108</v>
      </c>
      <c r="J53" s="411">
        <f>ROUND(J56*(1+0.3),-1)</f>
        <v>120</v>
      </c>
      <c r="K53" s="436">
        <v>144</v>
      </c>
      <c r="L53" s="411">
        <v>140</v>
      </c>
      <c r="M53" s="436">
        <v>168</v>
      </c>
      <c r="N53" s="411">
        <f>ROUND(N56*(1+0.3),-1)</f>
        <v>160</v>
      </c>
      <c r="O53" s="436">
        <v>192</v>
      </c>
      <c r="P53" s="473">
        <f>ROUND(P56*(1+0.3),-1)</f>
        <v>40</v>
      </c>
      <c r="Q53" s="522" t="s">
        <v>47</v>
      </c>
      <c r="R53" s="515">
        <f>ROUND(R56*(1+0.3),-1)</f>
        <v>60</v>
      </c>
      <c r="S53" s="530" t="s">
        <v>47</v>
      </c>
      <c r="T53" s="515" t="s">
        <v>47</v>
      </c>
      <c r="U53" s="530" t="s">
        <v>47</v>
      </c>
      <c r="V53" s="264"/>
      <c r="W53" s="264"/>
    </row>
    <row r="54" spans="1:33" s="266" customFormat="1" ht="12.75" hidden="1" customHeight="1" outlineLevel="1">
      <c r="B54" s="966"/>
      <c r="C54" s="929"/>
      <c r="D54" s="372" t="s">
        <v>35</v>
      </c>
      <c r="E54" s="373"/>
      <c r="F54" s="485">
        <f>ROUND(F56*(1+0.3),-1)</f>
        <v>60</v>
      </c>
      <c r="G54" s="488">
        <v>72</v>
      </c>
      <c r="H54" s="485">
        <f>ROUND(H56*(1+0.3),-1)</f>
        <v>90</v>
      </c>
      <c r="I54" s="488">
        <v>108</v>
      </c>
      <c r="J54" s="485">
        <f>ROUND(J56*(1+0.3),-1)</f>
        <v>120</v>
      </c>
      <c r="K54" s="488">
        <v>144</v>
      </c>
      <c r="L54" s="485">
        <v>140</v>
      </c>
      <c r="M54" s="488">
        <v>168</v>
      </c>
      <c r="N54" s="485">
        <f>ROUND(N56*(1+0.3),-1)</f>
        <v>160</v>
      </c>
      <c r="O54" s="488">
        <v>192</v>
      </c>
      <c r="P54" s="474">
        <f>ROUND(P56*(1+0.3),-1)</f>
        <v>40</v>
      </c>
      <c r="Q54" s="523" t="s">
        <v>47</v>
      </c>
      <c r="R54" s="516">
        <f>ROUND(R56*(1+0.3),-1)</f>
        <v>60</v>
      </c>
      <c r="S54" s="531" t="s">
        <v>47</v>
      </c>
      <c r="T54" s="516" t="s">
        <v>47</v>
      </c>
      <c r="U54" s="531" t="s">
        <v>47</v>
      </c>
      <c r="V54" s="264"/>
      <c r="W54" s="264"/>
    </row>
    <row r="55" spans="1:33" s="266" customFormat="1" ht="12.75" hidden="1" customHeight="1" outlineLevel="1">
      <c r="B55" s="966"/>
      <c r="C55" s="929"/>
      <c r="D55" s="370" t="s">
        <v>305</v>
      </c>
      <c r="E55" s="371"/>
      <c r="F55" s="669">
        <f>ROUND(F56*(1+0.3),-1)</f>
        <v>60</v>
      </c>
      <c r="G55" s="670">
        <v>72</v>
      </c>
      <c r="H55" s="669">
        <f>ROUND(H56*(1+0.3),-1)</f>
        <v>90</v>
      </c>
      <c r="I55" s="670">
        <v>108</v>
      </c>
      <c r="J55" s="669">
        <f>ROUND(J56*(1+0.3),-1)</f>
        <v>120</v>
      </c>
      <c r="K55" s="670">
        <v>144</v>
      </c>
      <c r="L55" s="669">
        <v>140</v>
      </c>
      <c r="M55" s="670">
        <v>168</v>
      </c>
      <c r="N55" s="669">
        <f>ROUND(N56*(1+0.3),-1)</f>
        <v>160</v>
      </c>
      <c r="O55" s="670">
        <v>192</v>
      </c>
      <c r="P55" s="514">
        <f>ROUND(P56*(1+0.3),-1)</f>
        <v>40</v>
      </c>
      <c r="Q55" s="524" t="s">
        <v>47</v>
      </c>
      <c r="R55" s="445">
        <f>ROUND(R56*(1+0.3),-1)</f>
        <v>60</v>
      </c>
      <c r="S55" s="532" t="s">
        <v>47</v>
      </c>
      <c r="T55" s="445" t="s">
        <v>47</v>
      </c>
      <c r="U55" s="532" t="s">
        <v>47</v>
      </c>
      <c r="V55" s="264"/>
      <c r="W55" s="264"/>
    </row>
    <row r="56" spans="1:33" ht="36" customHeight="1" collapsed="1">
      <c r="A56" s="266"/>
      <c r="B56" s="966"/>
      <c r="C56" s="1012"/>
      <c r="D56" s="742" t="str">
        <f>D53&amp;", "&amp;D54&amp;", "&amp;D55</f>
        <v>WP Autokult, WP Moto, Autocentrum</v>
      </c>
      <c r="E56" s="743"/>
      <c r="F56" s="418">
        <v>45</v>
      </c>
      <c r="G56" s="432">
        <v>54</v>
      </c>
      <c r="H56" s="418">
        <v>68</v>
      </c>
      <c r="I56" s="432">
        <v>81</v>
      </c>
      <c r="J56" s="418">
        <v>90</v>
      </c>
      <c r="K56" s="432">
        <v>108</v>
      </c>
      <c r="L56" s="412" t="s">
        <v>47</v>
      </c>
      <c r="M56" s="432" t="s">
        <v>47</v>
      </c>
      <c r="N56" s="412">
        <v>120</v>
      </c>
      <c r="O56" s="432">
        <v>144</v>
      </c>
      <c r="P56" s="506">
        <v>34</v>
      </c>
      <c r="Q56" s="518" t="s">
        <v>47</v>
      </c>
      <c r="R56" s="508">
        <v>45</v>
      </c>
      <c r="S56" s="533" t="s">
        <v>47</v>
      </c>
      <c r="T56" s="508" t="s">
        <v>47</v>
      </c>
      <c r="U56" s="533" t="s">
        <v>47</v>
      </c>
      <c r="V56" s="264"/>
      <c r="W56" s="264"/>
      <c r="X56" s="266"/>
      <c r="Y56" s="266"/>
      <c r="Z56" s="266"/>
      <c r="AA56" s="266"/>
      <c r="AB56" s="266"/>
      <c r="AC56" s="266"/>
      <c r="AD56" s="266"/>
      <c r="AE56" s="266"/>
      <c r="AF56" s="266"/>
      <c r="AG56" s="266"/>
    </row>
    <row r="57" spans="1:33" s="266" customFormat="1" ht="12.75" hidden="1" customHeight="1" outlineLevel="1">
      <c r="B57" s="966"/>
      <c r="C57" s="992" t="str">
        <f>IF('Język - Language'!$B$30="Polski","ROZRYWKA","FUN")</f>
        <v>ROZRYWKA</v>
      </c>
      <c r="D57" s="368" t="s">
        <v>37</v>
      </c>
      <c r="E57" s="369"/>
      <c r="F57" s="411">
        <f>ROUND(F69*(1+0.3),-1)</f>
        <v>40</v>
      </c>
      <c r="G57" s="436">
        <v>48</v>
      </c>
      <c r="H57" s="411">
        <f>ROUND(H69*(1+0.3),-1)</f>
        <v>60</v>
      </c>
      <c r="I57" s="436">
        <v>72</v>
      </c>
      <c r="J57" s="411">
        <f>ROUND(J69*(1+0.3),-1)</f>
        <v>80</v>
      </c>
      <c r="K57" s="436">
        <v>96</v>
      </c>
      <c r="L57" s="411">
        <v>90</v>
      </c>
      <c r="M57" s="436">
        <v>108</v>
      </c>
      <c r="N57" s="411">
        <f>ROUND(N69*(1+0.3),-1)</f>
        <v>100</v>
      </c>
      <c r="O57" s="436">
        <v>120</v>
      </c>
      <c r="P57" s="473">
        <f>ROUND(P69*(1+0.3),-1)</f>
        <v>30</v>
      </c>
      <c r="Q57" s="522" t="s">
        <v>47</v>
      </c>
      <c r="R57" s="515">
        <f>ROUND(R69*(1+0.3),-1)</f>
        <v>40</v>
      </c>
      <c r="S57" s="534" t="s">
        <v>47</v>
      </c>
      <c r="T57" s="515" t="s">
        <v>47</v>
      </c>
      <c r="U57" s="534" t="s">
        <v>47</v>
      </c>
      <c r="V57" s="264"/>
      <c r="W57" s="264"/>
    </row>
    <row r="58" spans="1:33" s="266" customFormat="1" ht="12.75" hidden="1" customHeight="1" outlineLevel="1">
      <c r="B58" s="966"/>
      <c r="C58" s="976"/>
      <c r="D58" s="404" t="s">
        <v>138</v>
      </c>
      <c r="E58" s="405"/>
      <c r="F58" s="413">
        <f>ROUND(F69*(1+0.3),-1)</f>
        <v>40</v>
      </c>
      <c r="G58" s="437">
        <v>48</v>
      </c>
      <c r="H58" s="413">
        <f>ROUND(H69*(1+0.3),-1)</f>
        <v>60</v>
      </c>
      <c r="I58" s="437">
        <v>72</v>
      </c>
      <c r="J58" s="413">
        <f>ROUND(J69*(1+0.3),-1)</f>
        <v>80</v>
      </c>
      <c r="K58" s="437">
        <v>96</v>
      </c>
      <c r="L58" s="413">
        <v>90</v>
      </c>
      <c r="M58" s="437">
        <v>108</v>
      </c>
      <c r="N58" s="413">
        <f>ROUND(N69*(1+0.3),-1)</f>
        <v>100</v>
      </c>
      <c r="O58" s="437">
        <v>120</v>
      </c>
      <c r="P58" s="474">
        <f>ROUND(P69*(1+0.3),-1)</f>
        <v>30</v>
      </c>
      <c r="Q58" s="523" t="s">
        <v>47</v>
      </c>
      <c r="R58" s="516">
        <f>ROUND(R69*(1+0.3),-1)</f>
        <v>40</v>
      </c>
      <c r="S58" s="535" t="s">
        <v>47</v>
      </c>
      <c r="T58" s="516" t="s">
        <v>47</v>
      </c>
      <c r="U58" s="535" t="s">
        <v>47</v>
      </c>
      <c r="V58" s="264"/>
      <c r="W58" s="264"/>
    </row>
    <row r="59" spans="1:33" s="266" customFormat="1" ht="12.75" hidden="1" customHeight="1" outlineLevel="1">
      <c r="B59" s="966"/>
      <c r="C59" s="976"/>
      <c r="D59" s="372" t="s">
        <v>53</v>
      </c>
      <c r="E59" s="373"/>
      <c r="F59" s="413">
        <f>ROUND(F69*(1+0.3),-1)</f>
        <v>40</v>
      </c>
      <c r="G59" s="437">
        <v>48</v>
      </c>
      <c r="H59" s="413">
        <f>ROUND(H69*(1+0.3),-1)</f>
        <v>60</v>
      </c>
      <c r="I59" s="437">
        <v>72</v>
      </c>
      <c r="J59" s="413">
        <f>ROUND(J69*(1+0.3),-1)</f>
        <v>80</v>
      </c>
      <c r="K59" s="437">
        <v>96</v>
      </c>
      <c r="L59" s="413">
        <v>90</v>
      </c>
      <c r="M59" s="437">
        <v>108</v>
      </c>
      <c r="N59" s="413">
        <f>ROUND(N69*(1+0.3),-1)</f>
        <v>100</v>
      </c>
      <c r="O59" s="437">
        <v>120</v>
      </c>
      <c r="P59" s="474">
        <f>ROUND(P69*(1+0.3),-1)</f>
        <v>30</v>
      </c>
      <c r="Q59" s="523" t="s">
        <v>47</v>
      </c>
      <c r="R59" s="516">
        <f>ROUND(R69*(1+0.3),-1)</f>
        <v>40</v>
      </c>
      <c r="S59" s="535" t="s">
        <v>47</v>
      </c>
      <c r="T59" s="516" t="s">
        <v>47</v>
      </c>
      <c r="U59" s="535" t="s">
        <v>47</v>
      </c>
      <c r="V59" s="264"/>
      <c r="W59" s="264"/>
    </row>
    <row r="60" spans="1:33" s="266" customFormat="1" ht="12.75" hidden="1" customHeight="1" outlineLevel="1">
      <c r="B60" s="966"/>
      <c r="C60" s="976"/>
      <c r="D60" s="372" t="s">
        <v>40</v>
      </c>
      <c r="E60" s="373"/>
      <c r="F60" s="413">
        <f>ROUND(F69*(1+0.3),-1)</f>
        <v>40</v>
      </c>
      <c r="G60" s="437">
        <v>48</v>
      </c>
      <c r="H60" s="413">
        <f>ROUND(H69*(1+0.3),-1)</f>
        <v>60</v>
      </c>
      <c r="I60" s="437">
        <v>72</v>
      </c>
      <c r="J60" s="413">
        <f>ROUND(J69*(1+0.3),-1)</f>
        <v>80</v>
      </c>
      <c r="K60" s="437">
        <v>96</v>
      </c>
      <c r="L60" s="413">
        <v>90</v>
      </c>
      <c r="M60" s="437">
        <v>108</v>
      </c>
      <c r="N60" s="413">
        <f>ROUND(N69*(1+0.3),-1)</f>
        <v>100</v>
      </c>
      <c r="O60" s="437">
        <v>120</v>
      </c>
      <c r="P60" s="474">
        <f>ROUND(P69*(1+0.3),-1)</f>
        <v>30</v>
      </c>
      <c r="Q60" s="523" t="s">
        <v>47</v>
      </c>
      <c r="R60" s="516">
        <f>ROUND(R69*(1+0.3),-1)</f>
        <v>40</v>
      </c>
      <c r="S60" s="535" t="s">
        <v>47</v>
      </c>
      <c r="T60" s="516" t="s">
        <v>47</v>
      </c>
      <c r="U60" s="535" t="s">
        <v>47</v>
      </c>
      <c r="V60" s="264"/>
      <c r="W60" s="264"/>
    </row>
    <row r="61" spans="1:33" s="266" customFormat="1" ht="12.75" hidden="1" customHeight="1" outlineLevel="1">
      <c r="B61" s="966"/>
      <c r="C61" s="976"/>
      <c r="D61" s="372" t="s">
        <v>130</v>
      </c>
      <c r="E61" s="373"/>
      <c r="F61" s="413">
        <f>ROUND(F69*(1+0.3),-1)</f>
        <v>40</v>
      </c>
      <c r="G61" s="437">
        <v>48</v>
      </c>
      <c r="H61" s="413">
        <f>ROUND(H69*(1+0.3),-1)</f>
        <v>60</v>
      </c>
      <c r="I61" s="437">
        <v>72</v>
      </c>
      <c r="J61" s="413">
        <f>ROUND(J69*(1+0.3),-1)</f>
        <v>80</v>
      </c>
      <c r="K61" s="437">
        <v>96</v>
      </c>
      <c r="L61" s="413">
        <v>90</v>
      </c>
      <c r="M61" s="437">
        <v>108</v>
      </c>
      <c r="N61" s="413">
        <f>ROUND(N69*(1+0.3),-1)</f>
        <v>100</v>
      </c>
      <c r="O61" s="437">
        <v>120</v>
      </c>
      <c r="P61" s="474">
        <f>ROUND(P69*(1+0.3),-1)</f>
        <v>30</v>
      </c>
      <c r="Q61" s="523" t="s">
        <v>47</v>
      </c>
      <c r="R61" s="516">
        <f>ROUND(R69*(1+0.3),-1)</f>
        <v>40</v>
      </c>
      <c r="S61" s="535" t="s">
        <v>47</v>
      </c>
      <c r="T61" s="516" t="s">
        <v>47</v>
      </c>
      <c r="U61" s="535" t="s">
        <v>47</v>
      </c>
      <c r="V61" s="264"/>
      <c r="W61" s="264"/>
    </row>
    <row r="62" spans="1:33" s="266" customFormat="1" ht="12.75" hidden="1" customHeight="1" outlineLevel="1">
      <c r="B62" s="966"/>
      <c r="C62" s="976"/>
      <c r="D62" s="372" t="s">
        <v>131</v>
      </c>
      <c r="E62" s="373"/>
      <c r="F62" s="413">
        <f>ROUND(F69*(1+0.3),-1)</f>
        <v>40</v>
      </c>
      <c r="G62" s="437">
        <v>48</v>
      </c>
      <c r="H62" s="413">
        <f>ROUND(H69*(1+0.3),-1)</f>
        <v>60</v>
      </c>
      <c r="I62" s="437">
        <v>72</v>
      </c>
      <c r="J62" s="413">
        <f>ROUND(J69*(1+0.3),-1)</f>
        <v>80</v>
      </c>
      <c r="K62" s="437">
        <v>96</v>
      </c>
      <c r="L62" s="413">
        <v>90</v>
      </c>
      <c r="M62" s="437">
        <v>108</v>
      </c>
      <c r="N62" s="413">
        <f>ROUND(N69*(1+0.3),-1)</f>
        <v>100</v>
      </c>
      <c r="O62" s="437">
        <v>120</v>
      </c>
      <c r="P62" s="474">
        <f>ROUND(P69*(1+0.3),-1)</f>
        <v>30</v>
      </c>
      <c r="Q62" s="523" t="s">
        <v>47</v>
      </c>
      <c r="R62" s="516">
        <f>ROUND(R69*(1+0.3),-1)</f>
        <v>40</v>
      </c>
      <c r="S62" s="535" t="s">
        <v>47</v>
      </c>
      <c r="T62" s="516" t="s">
        <v>47</v>
      </c>
      <c r="U62" s="535" t="s">
        <v>47</v>
      </c>
      <c r="V62" s="264"/>
      <c r="W62" s="264"/>
    </row>
    <row r="63" spans="1:33" s="266" customFormat="1" ht="12.75" hidden="1" customHeight="1" outlineLevel="1">
      <c r="B63" s="966"/>
      <c r="C63" s="976"/>
      <c r="D63" s="372" t="s">
        <v>124</v>
      </c>
      <c r="E63" s="373"/>
      <c r="F63" s="413">
        <f>ROUND(F102*(1+0.3),-1)</f>
        <v>60</v>
      </c>
      <c r="G63" s="437">
        <v>72</v>
      </c>
      <c r="H63" s="413">
        <f>ROUND(H102*(1+0.3),-1)</f>
        <v>90</v>
      </c>
      <c r="I63" s="437">
        <v>108</v>
      </c>
      <c r="J63" s="413">
        <f>ROUND(J102*(1+0.3),-1)</f>
        <v>120</v>
      </c>
      <c r="K63" s="437">
        <v>144</v>
      </c>
      <c r="L63" s="413" t="s">
        <v>47</v>
      </c>
      <c r="M63" s="437" t="s">
        <v>47</v>
      </c>
      <c r="N63" s="413" t="s">
        <v>47</v>
      </c>
      <c r="O63" s="414" t="s">
        <v>47</v>
      </c>
      <c r="P63" s="474">
        <f>ROUND(P102*(1+0.3),-1)</f>
        <v>40</v>
      </c>
      <c r="Q63" s="523" t="s">
        <v>47</v>
      </c>
      <c r="R63" s="516">
        <f>ROUND(R102*(1+0.3),-1)</f>
        <v>60</v>
      </c>
      <c r="S63" s="535" t="s">
        <v>47</v>
      </c>
      <c r="T63" s="516" t="s">
        <v>47</v>
      </c>
      <c r="U63" s="535" t="s">
        <v>47</v>
      </c>
      <c r="V63" s="264"/>
      <c r="W63" s="264"/>
    </row>
    <row r="64" spans="1:33" s="266" customFormat="1" ht="12.75" hidden="1" customHeight="1" outlineLevel="1">
      <c r="B64" s="966"/>
      <c r="C64" s="976"/>
      <c r="D64" s="372" t="s">
        <v>132</v>
      </c>
      <c r="E64" s="373"/>
      <c r="F64" s="413">
        <f>ROUND(F102*(1+0.3),-1)</f>
        <v>60</v>
      </c>
      <c r="G64" s="437">
        <v>72</v>
      </c>
      <c r="H64" s="413">
        <f>ROUND(H102*(1+0.3),-1)</f>
        <v>90</v>
      </c>
      <c r="I64" s="437">
        <v>108</v>
      </c>
      <c r="J64" s="413">
        <f>ROUND(J102*(1+0.3),-1)</f>
        <v>120</v>
      </c>
      <c r="K64" s="437">
        <v>144</v>
      </c>
      <c r="L64" s="413">
        <v>140</v>
      </c>
      <c r="M64" s="437">
        <v>168</v>
      </c>
      <c r="N64" s="413" t="s">
        <v>47</v>
      </c>
      <c r="O64" s="414" t="s">
        <v>47</v>
      </c>
      <c r="P64" s="474">
        <f>ROUND(P102*(1+0.3),-1)</f>
        <v>40</v>
      </c>
      <c r="Q64" s="523" t="s">
        <v>47</v>
      </c>
      <c r="R64" s="516">
        <f>ROUND(R102*(1+0.3),-1)</f>
        <v>60</v>
      </c>
      <c r="S64" s="535" t="s">
        <v>47</v>
      </c>
      <c r="T64" s="516" t="s">
        <v>47</v>
      </c>
      <c r="U64" s="535" t="s">
        <v>47</v>
      </c>
      <c r="V64" s="264"/>
      <c r="W64" s="264"/>
    </row>
    <row r="65" spans="1:28" s="266" customFormat="1" ht="12.75" hidden="1" customHeight="1" outlineLevel="1">
      <c r="B65" s="966"/>
      <c r="C65" s="976"/>
      <c r="D65" s="372" t="s">
        <v>324</v>
      </c>
      <c r="E65" s="373"/>
      <c r="F65" s="485">
        <f>ROUND(F92*(1+0.3),-1)</f>
        <v>60</v>
      </c>
      <c r="G65" s="488">
        <v>72</v>
      </c>
      <c r="H65" s="485">
        <f>ROUND(H92*(1+0.3),-1)</f>
        <v>90</v>
      </c>
      <c r="I65" s="488">
        <v>108</v>
      </c>
      <c r="J65" s="485">
        <f>ROUND(J92*(1+0.3),-1)</f>
        <v>120</v>
      </c>
      <c r="K65" s="488">
        <v>144</v>
      </c>
      <c r="L65" s="485">
        <v>140</v>
      </c>
      <c r="M65" s="488">
        <v>168</v>
      </c>
      <c r="N65" s="485">
        <f>ROUND(N92*(1+0.3),-1)</f>
        <v>160</v>
      </c>
      <c r="O65" s="488">
        <v>192</v>
      </c>
      <c r="P65" s="474">
        <f>ROUND(P92*(1+0.3),-1)</f>
        <v>40</v>
      </c>
      <c r="Q65" s="523" t="s">
        <v>47</v>
      </c>
      <c r="R65" s="516">
        <f>ROUND(R92*(1+0.3),-1)</f>
        <v>60</v>
      </c>
      <c r="S65" s="535" t="s">
        <v>47</v>
      </c>
      <c r="T65" s="516" t="s">
        <v>47</v>
      </c>
      <c r="U65" s="535" t="s">
        <v>47</v>
      </c>
      <c r="V65" s="264"/>
      <c r="W65" s="264"/>
    </row>
    <row r="66" spans="1:28" s="266" customFormat="1" ht="12.75" hidden="1" customHeight="1" outlineLevel="1">
      <c r="B66" s="966"/>
      <c r="C66" s="976"/>
      <c r="D66" s="372" t="s">
        <v>44</v>
      </c>
      <c r="E66" s="373"/>
      <c r="F66" s="413">
        <f>ROUND(F69*(1+1),-1)</f>
        <v>60</v>
      </c>
      <c r="G66" s="437">
        <v>72</v>
      </c>
      <c r="H66" s="413">
        <f>ROUND(H69*(1+1),-1)</f>
        <v>90</v>
      </c>
      <c r="I66" s="437">
        <v>108</v>
      </c>
      <c r="J66" s="413">
        <f>ROUND(J69*(1+1),-1)</f>
        <v>120</v>
      </c>
      <c r="K66" s="437">
        <v>144</v>
      </c>
      <c r="L66" s="413">
        <v>140</v>
      </c>
      <c r="M66" s="437">
        <v>168</v>
      </c>
      <c r="N66" s="413">
        <f>ROUND(N69*(1+1),-1)</f>
        <v>160</v>
      </c>
      <c r="O66" s="437">
        <v>192</v>
      </c>
      <c r="P66" s="474">
        <f>ROUND(P102*(1+0.3),-1)</f>
        <v>40</v>
      </c>
      <c r="Q66" s="523" t="s">
        <v>47</v>
      </c>
      <c r="R66" s="516">
        <f>ROUND(R102*(1+0.3),-1)</f>
        <v>60</v>
      </c>
      <c r="S66" s="535" t="s">
        <v>47</v>
      </c>
      <c r="T66" s="516" t="s">
        <v>47</v>
      </c>
      <c r="U66" s="535" t="s">
        <v>47</v>
      </c>
      <c r="V66" s="264"/>
      <c r="W66" s="264"/>
    </row>
    <row r="67" spans="1:28" s="266" customFormat="1" ht="12.75" hidden="1" customHeight="1" outlineLevel="1">
      <c r="B67" s="966"/>
      <c r="C67" s="976"/>
      <c r="D67" s="372" t="s">
        <v>133</v>
      </c>
      <c r="E67" s="373"/>
      <c r="F67" s="413">
        <f>ROUND(F69*(1+0.3),-1)</f>
        <v>40</v>
      </c>
      <c r="G67" s="437">
        <v>48</v>
      </c>
      <c r="H67" s="413">
        <f>ROUND(H69*(1+0.3),-1)</f>
        <v>60</v>
      </c>
      <c r="I67" s="437">
        <v>72</v>
      </c>
      <c r="J67" s="413">
        <f>ROUND(J69*(1+0.3),-1)</f>
        <v>80</v>
      </c>
      <c r="K67" s="437">
        <v>96</v>
      </c>
      <c r="L67" s="413">
        <v>90</v>
      </c>
      <c r="M67" s="437">
        <v>108</v>
      </c>
      <c r="N67" s="413">
        <f>ROUND(N69*(1+0.3),-1)</f>
        <v>100</v>
      </c>
      <c r="O67" s="437">
        <v>120</v>
      </c>
      <c r="P67" s="474">
        <f>ROUND(P69*(1+0.3),-1)</f>
        <v>30</v>
      </c>
      <c r="Q67" s="523" t="s">
        <v>47</v>
      </c>
      <c r="R67" s="516">
        <f>ROUND(R69*(1+0.3),-1)</f>
        <v>40</v>
      </c>
      <c r="S67" s="535" t="s">
        <v>47</v>
      </c>
      <c r="T67" s="516" t="s">
        <v>47</v>
      </c>
      <c r="U67" s="535" t="s">
        <v>47</v>
      </c>
      <c r="V67" s="264"/>
      <c r="W67" s="264"/>
    </row>
    <row r="68" spans="1:28" s="266" customFormat="1" ht="12.75" hidden="1" customHeight="1" outlineLevel="1">
      <c r="B68" s="966"/>
      <c r="C68" s="976"/>
      <c r="D68" s="370" t="s">
        <v>134</v>
      </c>
      <c r="E68" s="371"/>
      <c r="F68" s="415">
        <f>ROUND(F102*(1+0.3),-1)</f>
        <v>60</v>
      </c>
      <c r="G68" s="438">
        <v>72</v>
      </c>
      <c r="H68" s="415">
        <f>ROUND(H102*(1+0.3),-1)</f>
        <v>90</v>
      </c>
      <c r="I68" s="438">
        <v>108</v>
      </c>
      <c r="J68" s="415">
        <f>ROUND(J102*(1+0.3),-1)</f>
        <v>120</v>
      </c>
      <c r="K68" s="438">
        <v>144</v>
      </c>
      <c r="L68" s="415" t="s">
        <v>47</v>
      </c>
      <c r="M68" s="438" t="s">
        <v>47</v>
      </c>
      <c r="N68" s="415" t="s">
        <v>47</v>
      </c>
      <c r="O68" s="416" t="s">
        <v>47</v>
      </c>
      <c r="P68" s="514">
        <f>ROUND(P102*(1+0.3),-1)</f>
        <v>40</v>
      </c>
      <c r="Q68" s="524" t="s">
        <v>47</v>
      </c>
      <c r="R68" s="445">
        <f>ROUND(R102*(1+0.3),-1)</f>
        <v>60</v>
      </c>
      <c r="S68" s="536" t="s">
        <v>47</v>
      </c>
      <c r="T68" s="445" t="s">
        <v>47</v>
      </c>
      <c r="U68" s="536" t="s">
        <v>47</v>
      </c>
      <c r="V68" s="264"/>
      <c r="W68" s="264"/>
    </row>
    <row r="69" spans="1:28" s="227" customFormat="1" ht="42" customHeight="1" collapsed="1">
      <c r="A69" s="266"/>
      <c r="B69" s="966"/>
      <c r="C69" s="977"/>
      <c r="D69" s="969" t="str">
        <f>D57&amp;", "&amp;D58&amp;", "&amp;D59&amp;", "&amp;D60&amp;", "&amp;D61&amp;", "&amp;D62&amp;", "&amp;D63&amp;", "&amp;D64&amp;", "&amp;D65&amp;", "&amp;D66&amp;", "&amp;D67&amp;", "&amp;D68</f>
        <v>WP Film, WP Gry, WP Gwiazdy, WP Książki, WP Program TV, WP Teleshow, WP Pilot, WP Wideo, polygamia.pl, Pudelek, o2 serwisy, OpenFM</v>
      </c>
      <c r="E69" s="970"/>
      <c r="F69" s="418">
        <v>30</v>
      </c>
      <c r="G69" s="432">
        <v>36</v>
      </c>
      <c r="H69" s="418">
        <v>45</v>
      </c>
      <c r="I69" s="432">
        <v>54</v>
      </c>
      <c r="J69" s="418">
        <v>60</v>
      </c>
      <c r="K69" s="432">
        <v>72</v>
      </c>
      <c r="L69" s="412" t="s">
        <v>47</v>
      </c>
      <c r="M69" s="432" t="s">
        <v>47</v>
      </c>
      <c r="N69" s="412">
        <v>78</v>
      </c>
      <c r="O69" s="432">
        <v>94</v>
      </c>
      <c r="P69" s="504">
        <v>23</v>
      </c>
      <c r="Q69" s="518" t="s">
        <v>47</v>
      </c>
      <c r="R69" s="508">
        <v>30</v>
      </c>
      <c r="S69" s="526" t="s">
        <v>47</v>
      </c>
      <c r="T69" s="508" t="s">
        <v>47</v>
      </c>
      <c r="U69" s="526" t="s">
        <v>47</v>
      </c>
      <c r="V69" s="264"/>
      <c r="W69" s="264"/>
      <c r="X69" s="266"/>
      <c r="Y69" s="266"/>
      <c r="Z69" s="266"/>
      <c r="AA69" s="266"/>
      <c r="AB69" s="266"/>
    </row>
    <row r="70" spans="1:28" s="266" customFormat="1" ht="12.75" hidden="1" customHeight="1" outlineLevel="1">
      <c r="B70" s="966"/>
      <c r="C70" s="992" t="str">
        <f>IF('Język - Language'!$B$30="Polski","STYL ŻYCIA","LIFESTYLE")</f>
        <v>STYL ŻYCIA</v>
      </c>
      <c r="D70" s="368" t="s">
        <v>32</v>
      </c>
      <c r="E70" s="369"/>
      <c r="F70" s="411">
        <f>ROUND(F98*(1+0.3),-1)</f>
        <v>110</v>
      </c>
      <c r="G70" s="436">
        <v>132</v>
      </c>
      <c r="H70" s="411">
        <f>ROUND(H98*(1+0.3),-1)</f>
        <v>160</v>
      </c>
      <c r="I70" s="436">
        <v>192</v>
      </c>
      <c r="J70" s="411">
        <f>ROUND(J98*(1+0.3),-1)</f>
        <v>210</v>
      </c>
      <c r="K70" s="436">
        <v>252</v>
      </c>
      <c r="L70" s="411">
        <v>240</v>
      </c>
      <c r="M70" s="436">
        <v>288</v>
      </c>
      <c r="N70" s="411">
        <f>ROUND(N98*(1+0.3),-1)</f>
        <v>270</v>
      </c>
      <c r="O70" s="436">
        <v>324</v>
      </c>
      <c r="P70" s="473">
        <f>ROUND(P98*(1+0.3),-1)</f>
        <v>80</v>
      </c>
      <c r="Q70" s="522" t="s">
        <v>47</v>
      </c>
      <c r="R70" s="473">
        <f>ROUND(R98*(1+0.3),-1)</f>
        <v>110</v>
      </c>
      <c r="S70" s="530" t="s">
        <v>47</v>
      </c>
      <c r="T70" s="473" t="s">
        <v>47</v>
      </c>
      <c r="U70" s="530" t="s">
        <v>47</v>
      </c>
      <c r="V70" s="264"/>
      <c r="W70" s="264"/>
    </row>
    <row r="71" spans="1:28" s="266" customFormat="1" ht="12.75" hidden="1" customHeight="1" outlineLevel="1">
      <c r="B71" s="966"/>
      <c r="C71" s="976"/>
      <c r="D71" s="404" t="s">
        <v>211</v>
      </c>
      <c r="E71" s="405"/>
      <c r="F71" s="556">
        <f>ROUND(F84*(1+0.3),-1)</f>
        <v>60</v>
      </c>
      <c r="G71" s="557">
        <v>72</v>
      </c>
      <c r="H71" s="556">
        <f>ROUND(H84*(1+0.3),-1)</f>
        <v>90</v>
      </c>
      <c r="I71" s="557">
        <v>108</v>
      </c>
      <c r="J71" s="556">
        <f>ROUND(J84*(1+0.3),-1)</f>
        <v>120</v>
      </c>
      <c r="K71" s="557">
        <v>144</v>
      </c>
      <c r="L71" s="556">
        <v>140</v>
      </c>
      <c r="M71" s="557">
        <v>168</v>
      </c>
      <c r="N71" s="556">
        <f>ROUND(N84*(1+0.3),-1)</f>
        <v>160</v>
      </c>
      <c r="O71" s="557">
        <v>192</v>
      </c>
      <c r="P71" s="558">
        <f>ROUND(P84*(1+0.3),-1)</f>
        <v>40</v>
      </c>
      <c r="Q71" s="559" t="s">
        <v>47</v>
      </c>
      <c r="R71" s="558">
        <f>ROUND(R84*(1+0.3),-1)</f>
        <v>60</v>
      </c>
      <c r="S71" s="560" t="s">
        <v>47</v>
      </c>
      <c r="T71" s="558" t="s">
        <v>47</v>
      </c>
      <c r="U71" s="560" t="s">
        <v>47</v>
      </c>
      <c r="V71" s="264"/>
      <c r="W71" s="264"/>
    </row>
    <row r="72" spans="1:28" s="266" customFormat="1" ht="12.75" hidden="1" customHeight="1" outlineLevel="1">
      <c r="B72" s="966"/>
      <c r="C72" s="976"/>
      <c r="D72" s="372" t="s">
        <v>42</v>
      </c>
      <c r="E72" s="373"/>
      <c r="F72" s="413">
        <f>ROUND(F84*(1+0.3),-1)</f>
        <v>60</v>
      </c>
      <c r="G72" s="437">
        <v>72</v>
      </c>
      <c r="H72" s="413">
        <f>ROUND(H84*(1+0.3),-1)</f>
        <v>90</v>
      </c>
      <c r="I72" s="437">
        <v>108</v>
      </c>
      <c r="J72" s="413">
        <f>ROUND(J84*(1+0.3),-1)</f>
        <v>120</v>
      </c>
      <c r="K72" s="437">
        <v>144</v>
      </c>
      <c r="L72" s="413">
        <v>140</v>
      </c>
      <c r="M72" s="437">
        <v>168</v>
      </c>
      <c r="N72" s="413">
        <f>ROUND(N84*(1+0.3),-1)</f>
        <v>160</v>
      </c>
      <c r="O72" s="437">
        <v>192</v>
      </c>
      <c r="P72" s="474">
        <f>ROUND(P84*(1+0.3),-1)</f>
        <v>40</v>
      </c>
      <c r="Q72" s="523" t="s">
        <v>47</v>
      </c>
      <c r="R72" s="474">
        <f>ROUND(R84*(1+0.3),-1)</f>
        <v>60</v>
      </c>
      <c r="S72" s="531" t="s">
        <v>47</v>
      </c>
      <c r="T72" s="474" t="s">
        <v>47</v>
      </c>
      <c r="U72" s="531" t="s">
        <v>47</v>
      </c>
      <c r="V72" s="264"/>
      <c r="W72" s="264"/>
    </row>
    <row r="73" spans="1:28" s="266" customFormat="1" ht="12.75" hidden="1" customHeight="1" outlineLevel="1">
      <c r="B73" s="966"/>
      <c r="C73" s="976"/>
      <c r="D73" s="372" t="s">
        <v>39</v>
      </c>
      <c r="E73" s="373"/>
      <c r="F73" s="413">
        <f>ROUND(F84*(1+0.3),-1)</f>
        <v>60</v>
      </c>
      <c r="G73" s="437">
        <v>72</v>
      </c>
      <c r="H73" s="413">
        <f>ROUND(H84*(1+0.3),-1)</f>
        <v>90</v>
      </c>
      <c r="I73" s="437">
        <v>108</v>
      </c>
      <c r="J73" s="413">
        <f>ROUND(J84*(1+0.3),-1)</f>
        <v>120</v>
      </c>
      <c r="K73" s="437">
        <v>144</v>
      </c>
      <c r="L73" s="413">
        <v>140</v>
      </c>
      <c r="M73" s="437">
        <v>168</v>
      </c>
      <c r="N73" s="413">
        <f>ROUND(N84*(1+0.3),-1)</f>
        <v>160</v>
      </c>
      <c r="O73" s="437">
        <v>192</v>
      </c>
      <c r="P73" s="474">
        <f>ROUND(P84*(1+0.3),-1)</f>
        <v>40</v>
      </c>
      <c r="Q73" s="523" t="s">
        <v>47</v>
      </c>
      <c r="R73" s="474">
        <f>ROUND(R84*(1+0.3),-1)</f>
        <v>60</v>
      </c>
      <c r="S73" s="531" t="s">
        <v>47</v>
      </c>
      <c r="T73" s="474" t="s">
        <v>47</v>
      </c>
      <c r="U73" s="531" t="s">
        <v>47</v>
      </c>
      <c r="V73" s="264"/>
      <c r="W73" s="264"/>
    </row>
    <row r="74" spans="1:28" s="266" customFormat="1" ht="12.75" hidden="1" customHeight="1" outlineLevel="1">
      <c r="B74" s="966"/>
      <c r="C74" s="976"/>
      <c r="D74" s="372" t="s">
        <v>135</v>
      </c>
      <c r="E74" s="373"/>
      <c r="F74" s="413">
        <f>ROUND(F84*(1+0.3),-1)</f>
        <v>60</v>
      </c>
      <c r="G74" s="437">
        <v>72</v>
      </c>
      <c r="H74" s="413">
        <f>ROUND(H84*(1+0.3),-1)</f>
        <v>90</v>
      </c>
      <c r="I74" s="437">
        <v>108</v>
      </c>
      <c r="J74" s="413">
        <f>ROUND(J84*(1+0.3),-1)</f>
        <v>120</v>
      </c>
      <c r="K74" s="437">
        <v>144</v>
      </c>
      <c r="L74" s="413">
        <v>140</v>
      </c>
      <c r="M74" s="437">
        <v>168</v>
      </c>
      <c r="N74" s="413">
        <f>ROUND(N84*(1+0.3),-1)</f>
        <v>160</v>
      </c>
      <c r="O74" s="437">
        <v>192</v>
      </c>
      <c r="P74" s="474">
        <f>ROUND(P84*(1+0.3),-1)</f>
        <v>40</v>
      </c>
      <c r="Q74" s="523" t="s">
        <v>47</v>
      </c>
      <c r="R74" s="474">
        <f>ROUND(R84*(1+0.3),-1)</f>
        <v>60</v>
      </c>
      <c r="S74" s="531" t="s">
        <v>47</v>
      </c>
      <c r="T74" s="474" t="s">
        <v>47</v>
      </c>
      <c r="U74" s="531" t="s">
        <v>47</v>
      </c>
      <c r="V74" s="264"/>
      <c r="W74" s="264"/>
    </row>
    <row r="75" spans="1:28" s="266" customFormat="1" ht="12.75" hidden="1" customHeight="1" outlineLevel="1">
      <c r="B75" s="966"/>
      <c r="C75" s="976"/>
      <c r="D75" s="372" t="s">
        <v>41</v>
      </c>
      <c r="E75" s="373"/>
      <c r="F75" s="413">
        <f>ROUND(F84*(1+0.3),-1)</f>
        <v>60</v>
      </c>
      <c r="G75" s="437">
        <v>72</v>
      </c>
      <c r="H75" s="413">
        <f>ROUND(H84*(1+0.3),-1)</f>
        <v>90</v>
      </c>
      <c r="I75" s="437">
        <v>108</v>
      </c>
      <c r="J75" s="413">
        <f>ROUND(J84*(1+0.3),-1)</f>
        <v>120</v>
      </c>
      <c r="K75" s="437">
        <v>144</v>
      </c>
      <c r="L75" s="413">
        <v>140</v>
      </c>
      <c r="M75" s="437">
        <v>168</v>
      </c>
      <c r="N75" s="413">
        <f>ROUND(N84*(1+0.3),-1)</f>
        <v>160</v>
      </c>
      <c r="O75" s="437">
        <v>192</v>
      </c>
      <c r="P75" s="474">
        <f>ROUND(P84*(1+0.3),-1)</f>
        <v>40</v>
      </c>
      <c r="Q75" s="523" t="s">
        <v>47</v>
      </c>
      <c r="R75" s="474">
        <f>ROUND(R84*(1+0.3),-1)</f>
        <v>60</v>
      </c>
      <c r="S75" s="531" t="s">
        <v>47</v>
      </c>
      <c r="T75" s="474" t="s">
        <v>47</v>
      </c>
      <c r="U75" s="531" t="s">
        <v>47</v>
      </c>
      <c r="V75" s="264"/>
      <c r="W75" s="264"/>
    </row>
    <row r="76" spans="1:28" s="266" customFormat="1" ht="12.75" hidden="1" customHeight="1" outlineLevel="1">
      <c r="B76" s="966"/>
      <c r="C76" s="976"/>
      <c r="D76" s="372" t="s">
        <v>33</v>
      </c>
      <c r="E76" s="373"/>
      <c r="F76" s="413">
        <f>ROUND(F84*(1+0.3),-1)</f>
        <v>60</v>
      </c>
      <c r="G76" s="437">
        <v>72</v>
      </c>
      <c r="H76" s="413">
        <f>ROUND(H84*(1+0.3),-1)</f>
        <v>90</v>
      </c>
      <c r="I76" s="437">
        <v>108</v>
      </c>
      <c r="J76" s="413">
        <f>ROUND(J84*(1+0.3),-1)</f>
        <v>120</v>
      </c>
      <c r="K76" s="437">
        <v>144</v>
      </c>
      <c r="L76" s="413">
        <v>140</v>
      </c>
      <c r="M76" s="437">
        <v>168</v>
      </c>
      <c r="N76" s="413">
        <f>ROUND(N84*(1+0.3),-1)</f>
        <v>160</v>
      </c>
      <c r="O76" s="437">
        <v>192</v>
      </c>
      <c r="P76" s="474">
        <f>ROUND(P84*(1+0.3),-1)</f>
        <v>40</v>
      </c>
      <c r="Q76" s="523" t="s">
        <v>47</v>
      </c>
      <c r="R76" s="474">
        <f>ROUND(R84*(1+0.3),-1)</f>
        <v>60</v>
      </c>
      <c r="S76" s="531" t="s">
        <v>47</v>
      </c>
      <c r="T76" s="474" t="s">
        <v>47</v>
      </c>
      <c r="U76" s="531" t="s">
        <v>47</v>
      </c>
      <c r="V76" s="264"/>
      <c r="W76" s="264"/>
    </row>
    <row r="77" spans="1:28" s="266" customFormat="1" ht="12.75" hidden="1" customHeight="1" outlineLevel="1">
      <c r="B77" s="966"/>
      <c r="C77" s="976"/>
      <c r="D77" s="372" t="s">
        <v>124</v>
      </c>
      <c r="E77" s="373"/>
      <c r="F77" s="485">
        <f>ROUND(F102*(1+0.3),-1)</f>
        <v>60</v>
      </c>
      <c r="G77" s="488">
        <v>72</v>
      </c>
      <c r="H77" s="485">
        <f>ROUND(H102*(1+0.3),-1)</f>
        <v>90</v>
      </c>
      <c r="I77" s="488">
        <v>108</v>
      </c>
      <c r="J77" s="485">
        <f>ROUND(J102*(1+0.3),-1)</f>
        <v>120</v>
      </c>
      <c r="K77" s="488">
        <v>144</v>
      </c>
      <c r="L77" s="485" t="s">
        <v>47</v>
      </c>
      <c r="M77" s="488" t="s">
        <v>47</v>
      </c>
      <c r="N77" s="485" t="s">
        <v>47</v>
      </c>
      <c r="O77" s="488" t="s">
        <v>47</v>
      </c>
      <c r="P77" s="474" t="s">
        <v>47</v>
      </c>
      <c r="Q77" s="523" t="s">
        <v>47</v>
      </c>
      <c r="R77" s="474" t="s">
        <v>47</v>
      </c>
      <c r="S77" s="531" t="s">
        <v>47</v>
      </c>
      <c r="T77" s="474" t="s">
        <v>47</v>
      </c>
      <c r="U77" s="531" t="s">
        <v>47</v>
      </c>
      <c r="V77" s="264"/>
      <c r="W77" s="264"/>
    </row>
    <row r="78" spans="1:28" s="266" customFormat="1" ht="12.75" hidden="1" customHeight="1" outlineLevel="1">
      <c r="B78" s="966"/>
      <c r="C78" s="976"/>
      <c r="D78" s="372" t="s">
        <v>130</v>
      </c>
      <c r="E78" s="373"/>
      <c r="F78" s="413">
        <f>ROUND(F69*(1+0.3),-1)</f>
        <v>40</v>
      </c>
      <c r="G78" s="437">
        <v>48</v>
      </c>
      <c r="H78" s="413">
        <f>ROUND(H69*(1+0.3),-1)</f>
        <v>60</v>
      </c>
      <c r="I78" s="437">
        <v>72</v>
      </c>
      <c r="J78" s="413">
        <f>ROUND(J69*(1+0.3),-1)</f>
        <v>80</v>
      </c>
      <c r="K78" s="437">
        <v>96</v>
      </c>
      <c r="L78" s="413">
        <v>90</v>
      </c>
      <c r="M78" s="437">
        <v>108</v>
      </c>
      <c r="N78" s="413">
        <f>ROUND(N69*(1+0.3),-1)</f>
        <v>100</v>
      </c>
      <c r="O78" s="437">
        <v>120</v>
      </c>
      <c r="P78" s="474">
        <f>ROUND(P69*(1+0.3),-1)</f>
        <v>30</v>
      </c>
      <c r="Q78" s="523" t="s">
        <v>47</v>
      </c>
      <c r="R78" s="474">
        <f>ROUND(R69*(1+0.3),-1)</f>
        <v>40</v>
      </c>
      <c r="S78" s="531" t="s">
        <v>47</v>
      </c>
      <c r="T78" s="474" t="s">
        <v>47</v>
      </c>
      <c r="U78" s="531" t="s">
        <v>47</v>
      </c>
      <c r="V78" s="264"/>
      <c r="W78" s="264"/>
    </row>
    <row r="79" spans="1:28" s="266" customFormat="1" ht="12.75" hidden="1" customHeight="1" outlineLevel="1">
      <c r="B79" s="966"/>
      <c r="C79" s="976"/>
      <c r="D79" s="372" t="s">
        <v>38</v>
      </c>
      <c r="E79" s="373"/>
      <c r="F79" s="413">
        <f>ROUND(F84*(1+0.3),-1)</f>
        <v>60</v>
      </c>
      <c r="G79" s="437">
        <v>72</v>
      </c>
      <c r="H79" s="413">
        <f>ROUND(H84*(1+0.3),-1)</f>
        <v>90</v>
      </c>
      <c r="I79" s="437">
        <v>108</v>
      </c>
      <c r="J79" s="413">
        <f>ROUND(J84*(1+0.3),-1)</f>
        <v>120</v>
      </c>
      <c r="K79" s="437">
        <v>144</v>
      </c>
      <c r="L79" s="413">
        <v>140</v>
      </c>
      <c r="M79" s="437">
        <v>168</v>
      </c>
      <c r="N79" s="413">
        <f>ROUND(N84*(1+0.3),-1)</f>
        <v>160</v>
      </c>
      <c r="O79" s="437">
        <v>192</v>
      </c>
      <c r="P79" s="474">
        <f>ROUND(P84*(1+0.3),-1)</f>
        <v>40</v>
      </c>
      <c r="Q79" s="523" t="s">
        <v>47</v>
      </c>
      <c r="R79" s="474">
        <f>ROUND(R84*(1+0.3),-1)</f>
        <v>60</v>
      </c>
      <c r="S79" s="531" t="s">
        <v>47</v>
      </c>
      <c r="T79" s="474" t="s">
        <v>47</v>
      </c>
      <c r="U79" s="531" t="s">
        <v>47</v>
      </c>
      <c r="V79" s="264"/>
      <c r="W79" s="264"/>
    </row>
    <row r="80" spans="1:28" s="266" customFormat="1" ht="12.75" hidden="1" customHeight="1" outlineLevel="1">
      <c r="B80" s="966"/>
      <c r="C80" s="976"/>
      <c r="D80" s="372" t="s">
        <v>303</v>
      </c>
      <c r="E80" s="373"/>
      <c r="F80" s="485">
        <f>ROUND(F52*(1+0.3),-1)</f>
        <v>70</v>
      </c>
      <c r="G80" s="488">
        <v>84</v>
      </c>
      <c r="H80" s="485">
        <f>ROUND(H52*(1+0.3),-1)</f>
        <v>100</v>
      </c>
      <c r="I80" s="488">
        <v>120</v>
      </c>
      <c r="J80" s="485">
        <f>ROUND(J52*(1+0.3),-1)</f>
        <v>140</v>
      </c>
      <c r="K80" s="488">
        <v>168</v>
      </c>
      <c r="L80" s="485">
        <v>160</v>
      </c>
      <c r="M80" s="488">
        <v>192</v>
      </c>
      <c r="N80" s="485">
        <f>ROUND(N52*(1+0.3),-1)</f>
        <v>190</v>
      </c>
      <c r="O80" s="488">
        <v>228</v>
      </c>
      <c r="P80" s="474">
        <f>ROUND(P52*(1+0.3),-1)</f>
        <v>50</v>
      </c>
      <c r="Q80" s="523" t="s">
        <v>47</v>
      </c>
      <c r="R80" s="474">
        <f>ROUND(R52*(1+0.3),-1)</f>
        <v>70</v>
      </c>
      <c r="S80" s="531" t="s">
        <v>47</v>
      </c>
      <c r="T80" s="474" t="s">
        <v>47</v>
      </c>
      <c r="U80" s="531" t="s">
        <v>47</v>
      </c>
      <c r="V80" s="264"/>
      <c r="W80" s="264"/>
    </row>
    <row r="81" spans="1:28" s="266" customFormat="1" ht="12.75" hidden="1" customHeight="1" outlineLevel="1">
      <c r="B81" s="966"/>
      <c r="C81" s="976"/>
      <c r="D81" s="404" t="s">
        <v>134</v>
      </c>
      <c r="E81" s="405"/>
      <c r="F81" s="556">
        <f>ROUND(F102*(1+0.3),-1)</f>
        <v>60</v>
      </c>
      <c r="G81" s="557">
        <v>72</v>
      </c>
      <c r="H81" s="556">
        <f>ROUND(H102*(1+0.3),-1)</f>
        <v>90</v>
      </c>
      <c r="I81" s="557">
        <v>108</v>
      </c>
      <c r="J81" s="556">
        <f>ROUND(J102*(1+0.3),-1)</f>
        <v>120</v>
      </c>
      <c r="K81" s="557">
        <v>144</v>
      </c>
      <c r="L81" s="556" t="s">
        <v>47</v>
      </c>
      <c r="M81" s="557" t="s">
        <v>47</v>
      </c>
      <c r="N81" s="556" t="s">
        <v>47</v>
      </c>
      <c r="O81" s="671" t="s">
        <v>47</v>
      </c>
      <c r="P81" s="558">
        <f>ROUND(P102*(1+0.3),-1)</f>
        <v>40</v>
      </c>
      <c r="Q81" s="559" t="s">
        <v>47</v>
      </c>
      <c r="R81" s="558">
        <f>ROUND(R102*(1+0.3),-1)</f>
        <v>60</v>
      </c>
      <c r="S81" s="560" t="s">
        <v>47</v>
      </c>
      <c r="T81" s="558" t="s">
        <v>47</v>
      </c>
      <c r="U81" s="560" t="s">
        <v>47</v>
      </c>
      <c r="V81" s="264"/>
      <c r="W81" s="264"/>
    </row>
    <row r="82" spans="1:28" s="266" customFormat="1" ht="12.75" hidden="1" customHeight="1" outlineLevel="1">
      <c r="B82" s="966"/>
      <c r="C82" s="976"/>
      <c r="D82" s="372" t="s">
        <v>328</v>
      </c>
      <c r="E82" s="373"/>
      <c r="F82" s="485">
        <f>ROUND(F84*(1+0.3),-1)</f>
        <v>60</v>
      </c>
      <c r="G82" s="488">
        <v>72</v>
      </c>
      <c r="H82" s="485">
        <f>ROUND(H84*(1+0.3),-1)</f>
        <v>90</v>
      </c>
      <c r="I82" s="488">
        <v>108</v>
      </c>
      <c r="J82" s="485">
        <f>ROUND(J84*(1+0.3),-1)</f>
        <v>120</v>
      </c>
      <c r="K82" s="488">
        <v>144</v>
      </c>
      <c r="L82" s="485">
        <v>140</v>
      </c>
      <c r="M82" s="488">
        <v>168</v>
      </c>
      <c r="N82" s="485">
        <f>ROUND(N84*(1+0.3),-1)</f>
        <v>160</v>
      </c>
      <c r="O82" s="488">
        <v>192</v>
      </c>
      <c r="P82" s="474"/>
      <c r="Q82" s="523"/>
      <c r="R82" s="474"/>
      <c r="S82" s="531"/>
      <c r="T82" s="474"/>
      <c r="U82" s="531"/>
      <c r="V82" s="264"/>
      <c r="W82" s="264"/>
    </row>
    <row r="83" spans="1:28" s="266" customFormat="1" ht="12.75" hidden="1" customHeight="1" outlineLevel="1">
      <c r="B83" s="966"/>
      <c r="C83" s="976"/>
      <c r="D83" s="370" t="s">
        <v>129</v>
      </c>
      <c r="E83" s="371"/>
      <c r="F83" s="669">
        <f>ROUND(F52*(1+0.3),-1)</f>
        <v>70</v>
      </c>
      <c r="G83" s="670">
        <v>84</v>
      </c>
      <c r="H83" s="669">
        <f>ROUND(H52*(1+0.3),-1)</f>
        <v>100</v>
      </c>
      <c r="I83" s="670">
        <v>120</v>
      </c>
      <c r="J83" s="669">
        <f>ROUND(J52*(1+0.3),-1)</f>
        <v>140</v>
      </c>
      <c r="K83" s="670">
        <v>168</v>
      </c>
      <c r="L83" s="669">
        <v>160</v>
      </c>
      <c r="M83" s="670">
        <v>192</v>
      </c>
      <c r="N83" s="669">
        <f>ROUND(N52*(1+0.3),-1)</f>
        <v>190</v>
      </c>
      <c r="O83" s="670">
        <v>228</v>
      </c>
      <c r="P83" s="514">
        <f>ROUND(P52*(1+0.3),-1)</f>
        <v>50</v>
      </c>
      <c r="Q83" s="524" t="s">
        <v>47</v>
      </c>
      <c r="R83" s="514">
        <f>ROUND(R52*(1+0.3),-1)</f>
        <v>70</v>
      </c>
      <c r="S83" s="527" t="s">
        <v>47</v>
      </c>
      <c r="T83" s="514" t="s">
        <v>47</v>
      </c>
      <c r="U83" s="527" t="s">
        <v>47</v>
      </c>
      <c r="V83" s="264"/>
      <c r="W83" s="264"/>
    </row>
    <row r="84" spans="1:28" ht="48" customHeight="1" collapsed="1">
      <c r="A84" s="266"/>
      <c r="B84" s="966"/>
      <c r="C84" s="977"/>
      <c r="D84" s="742" t="str">
        <f>D70&amp;", "&amp;D71&amp;", "&amp;D72&amp;", "&amp;D73&amp;", "&amp;D74&amp;", "&amp;D75&amp;", "&amp;D76&amp;", "&amp;D77&amp;", "&amp;D78&amp;", "&amp;D79&amp;", "&amp;D80&amp;", "&amp;D81&amp;", "&amp;D82&amp;", "&amp;D83</f>
        <v>WP abcZdrowie, WP Dom, WP Facet, WP Kobieta, Kafeteria.pl, WP Kuchnia, WP Parenting, WP Pilot, WP Program TV, WP Turystyka, WP Wroclaw, OpenFM, Praca.money.pl, Wawalove</v>
      </c>
      <c r="E84" s="743"/>
      <c r="F84" s="418">
        <v>45</v>
      </c>
      <c r="G84" s="432">
        <v>54</v>
      </c>
      <c r="H84" s="418">
        <v>68</v>
      </c>
      <c r="I84" s="432">
        <v>81</v>
      </c>
      <c r="J84" s="418">
        <v>90</v>
      </c>
      <c r="K84" s="432">
        <v>108</v>
      </c>
      <c r="L84" s="412" t="s">
        <v>47</v>
      </c>
      <c r="M84" s="432" t="s">
        <v>47</v>
      </c>
      <c r="N84" s="412">
        <v>120</v>
      </c>
      <c r="O84" s="432">
        <v>144</v>
      </c>
      <c r="P84" s="504">
        <v>34</v>
      </c>
      <c r="Q84" s="518" t="s">
        <v>47</v>
      </c>
      <c r="R84" s="504">
        <v>45</v>
      </c>
      <c r="S84" s="537" t="s">
        <v>47</v>
      </c>
      <c r="T84" s="504" t="s">
        <v>47</v>
      </c>
      <c r="U84" s="537" t="s">
        <v>47</v>
      </c>
      <c r="V84" s="264"/>
      <c r="W84" s="264"/>
      <c r="X84" s="266"/>
      <c r="Y84" s="266"/>
      <c r="Z84" s="266"/>
      <c r="AA84" s="266"/>
      <c r="AB84" s="266"/>
    </row>
    <row r="85" spans="1:28" s="266" customFormat="1" ht="12.75" hidden="1" customHeight="1" outlineLevel="1">
      <c r="B85" s="966"/>
      <c r="C85" s="1011" t="str">
        <f>IF('Język - Language'!$B$30="Polski","TECHNOLOGIA","TECHNOLOGY")</f>
        <v>TECHNOLOGIA</v>
      </c>
      <c r="D85" s="368" t="s">
        <v>136</v>
      </c>
      <c r="E85" s="369"/>
      <c r="F85" s="411">
        <f>ROUND(F92*(1+0.3),-1)</f>
        <v>60</v>
      </c>
      <c r="G85" s="436">
        <v>72</v>
      </c>
      <c r="H85" s="411">
        <f>ROUND(H92*(1+0.3),-1)</f>
        <v>90</v>
      </c>
      <c r="I85" s="436">
        <v>108</v>
      </c>
      <c r="J85" s="411">
        <f>ROUND(J92*(1+0.3),-1)</f>
        <v>120</v>
      </c>
      <c r="K85" s="436">
        <v>144</v>
      </c>
      <c r="L85" s="411">
        <v>140</v>
      </c>
      <c r="M85" s="436">
        <v>168</v>
      </c>
      <c r="N85" s="411">
        <f>ROUND(N92*(1+0.3),-1)</f>
        <v>160</v>
      </c>
      <c r="O85" s="436">
        <v>192</v>
      </c>
      <c r="P85" s="484">
        <f>ROUND(P92*(1+0.3),-1)</f>
        <v>40</v>
      </c>
      <c r="Q85" s="522" t="s">
        <v>47</v>
      </c>
      <c r="R85" s="484">
        <f>ROUND(R92*(1+0.3),-1)</f>
        <v>60</v>
      </c>
      <c r="S85" s="530" t="s">
        <v>47</v>
      </c>
      <c r="T85" s="484" t="s">
        <v>47</v>
      </c>
      <c r="U85" s="530" t="s">
        <v>47</v>
      </c>
      <c r="V85" s="264"/>
      <c r="W85" s="264"/>
    </row>
    <row r="86" spans="1:28" s="266" customFormat="1" ht="12.75" hidden="1" customHeight="1" outlineLevel="1">
      <c r="B86" s="966"/>
      <c r="C86" s="929"/>
      <c r="D86" s="372" t="s">
        <v>138</v>
      </c>
      <c r="E86" s="373"/>
      <c r="F86" s="413">
        <f>ROUND(F92*(1+0.3),-1)</f>
        <v>60</v>
      </c>
      <c r="G86" s="437">
        <v>72</v>
      </c>
      <c r="H86" s="413">
        <f>ROUND(H92*(1+0.3),-1)</f>
        <v>90</v>
      </c>
      <c r="I86" s="437">
        <v>108</v>
      </c>
      <c r="J86" s="413">
        <f>ROUND(J92*(1+0.3),-1)</f>
        <v>120</v>
      </c>
      <c r="K86" s="437">
        <v>144</v>
      </c>
      <c r="L86" s="413">
        <v>140</v>
      </c>
      <c r="M86" s="437">
        <v>168</v>
      </c>
      <c r="N86" s="413">
        <f>ROUND(N92*(1+0.3),-1)</f>
        <v>160</v>
      </c>
      <c r="O86" s="437">
        <v>192</v>
      </c>
      <c r="P86" s="485">
        <f>ROUND(P92*(1+0.3),-1)</f>
        <v>40</v>
      </c>
      <c r="Q86" s="523" t="s">
        <v>47</v>
      </c>
      <c r="R86" s="485">
        <f>ROUND(R92*(1+0.3),-1)</f>
        <v>60</v>
      </c>
      <c r="S86" s="531" t="s">
        <v>47</v>
      </c>
      <c r="T86" s="485" t="s">
        <v>47</v>
      </c>
      <c r="U86" s="531" t="s">
        <v>47</v>
      </c>
      <c r="V86" s="264"/>
      <c r="W86" s="264"/>
    </row>
    <row r="87" spans="1:28" s="266" customFormat="1" ht="12.75" hidden="1" customHeight="1" outlineLevel="1">
      <c r="B87" s="966"/>
      <c r="C87" s="929"/>
      <c r="D87" s="372" t="s">
        <v>31</v>
      </c>
      <c r="E87" s="373"/>
      <c r="F87" s="413">
        <f>ROUND(F92*(1+0.3),-1)</f>
        <v>60</v>
      </c>
      <c r="G87" s="437">
        <v>72</v>
      </c>
      <c r="H87" s="413">
        <f>ROUND(H92*(1+0.3),-1)</f>
        <v>90</v>
      </c>
      <c r="I87" s="437">
        <v>108</v>
      </c>
      <c r="J87" s="413">
        <f>ROUND(J92*(1+0.3),-1)</f>
        <v>120</v>
      </c>
      <c r="K87" s="437">
        <v>144</v>
      </c>
      <c r="L87" s="413">
        <v>140</v>
      </c>
      <c r="M87" s="437">
        <v>168</v>
      </c>
      <c r="N87" s="413">
        <f>ROUND(N92*(1+0.3),-1)</f>
        <v>160</v>
      </c>
      <c r="O87" s="437">
        <v>192</v>
      </c>
      <c r="P87" s="485">
        <f>ROUND(P92*(1+0.3),-1)</f>
        <v>40</v>
      </c>
      <c r="Q87" s="523" t="s">
        <v>47</v>
      </c>
      <c r="R87" s="485">
        <f>ROUND(R92*(1+0.3),-1)</f>
        <v>60</v>
      </c>
      <c r="S87" s="531" t="s">
        <v>47</v>
      </c>
      <c r="T87" s="485" t="s">
        <v>47</v>
      </c>
      <c r="U87" s="531" t="s">
        <v>47</v>
      </c>
      <c r="V87" s="264"/>
      <c r="W87" s="264"/>
    </row>
    <row r="88" spans="1:28" s="266" customFormat="1" ht="12.75" hidden="1" customHeight="1" outlineLevel="1">
      <c r="B88" s="966"/>
      <c r="C88" s="929"/>
      <c r="D88" s="372" t="s">
        <v>29</v>
      </c>
      <c r="E88" s="373"/>
      <c r="F88" s="413">
        <f>ROUND(F92*(1+0.3),-1)</f>
        <v>60</v>
      </c>
      <c r="G88" s="437">
        <v>72</v>
      </c>
      <c r="H88" s="413">
        <f>ROUND(H92*(1+0.3),-1)</f>
        <v>90</v>
      </c>
      <c r="I88" s="437">
        <v>108</v>
      </c>
      <c r="J88" s="413">
        <f>ROUND(J92*(1+0.3),-1)</f>
        <v>120</v>
      </c>
      <c r="K88" s="437">
        <v>144</v>
      </c>
      <c r="L88" s="413">
        <v>140</v>
      </c>
      <c r="M88" s="437">
        <v>168</v>
      </c>
      <c r="N88" s="413">
        <f>ROUND(N92*(1+0.3),-1)</f>
        <v>160</v>
      </c>
      <c r="O88" s="437">
        <v>192</v>
      </c>
      <c r="P88" s="485">
        <f>ROUND(P92*(1+0.3),-1)</f>
        <v>40</v>
      </c>
      <c r="Q88" s="523" t="s">
        <v>47</v>
      </c>
      <c r="R88" s="485">
        <f>ROUND(R92*(1+0.3),-1)</f>
        <v>60</v>
      </c>
      <c r="S88" s="531" t="s">
        <v>47</v>
      </c>
      <c r="T88" s="485" t="s">
        <v>47</v>
      </c>
      <c r="U88" s="531" t="s">
        <v>47</v>
      </c>
      <c r="V88" s="264"/>
      <c r="W88" s="264"/>
    </row>
    <row r="89" spans="1:28" s="266" customFormat="1" ht="12.75" hidden="1" customHeight="1" outlineLevel="1">
      <c r="B89" s="966"/>
      <c r="C89" s="929"/>
      <c r="D89" s="372" t="s">
        <v>30</v>
      </c>
      <c r="E89" s="373"/>
      <c r="F89" s="413">
        <f>ROUND(F92*(1+0.3),-1)</f>
        <v>60</v>
      </c>
      <c r="G89" s="437">
        <v>72</v>
      </c>
      <c r="H89" s="413">
        <f>ROUND(H92*(1+0.3),-1)</f>
        <v>90</v>
      </c>
      <c r="I89" s="437">
        <v>108</v>
      </c>
      <c r="J89" s="413">
        <f>ROUND(J92*(1+0.3),-1)</f>
        <v>120</v>
      </c>
      <c r="K89" s="437">
        <v>144</v>
      </c>
      <c r="L89" s="413">
        <v>140</v>
      </c>
      <c r="M89" s="437">
        <v>168</v>
      </c>
      <c r="N89" s="413">
        <f>ROUND(N92*(1+0.3),-1)</f>
        <v>160</v>
      </c>
      <c r="O89" s="437">
        <v>192</v>
      </c>
      <c r="P89" s="485">
        <f>ROUND(P92*(1+0.3),-1)</f>
        <v>40</v>
      </c>
      <c r="Q89" s="523" t="s">
        <v>47</v>
      </c>
      <c r="R89" s="485">
        <f>ROUND(R92*(1+0.3),-1)</f>
        <v>60</v>
      </c>
      <c r="S89" s="531" t="s">
        <v>47</v>
      </c>
      <c r="T89" s="485" t="s">
        <v>47</v>
      </c>
      <c r="U89" s="531" t="s">
        <v>47</v>
      </c>
      <c r="V89" s="264"/>
      <c r="W89" s="264"/>
    </row>
    <row r="90" spans="1:28" s="266" customFormat="1" ht="12.75" hidden="1" customHeight="1" outlineLevel="1">
      <c r="B90" s="966"/>
      <c r="C90" s="929"/>
      <c r="D90" s="372" t="s">
        <v>139</v>
      </c>
      <c r="E90" s="373"/>
      <c r="F90" s="485">
        <f>ROUND(F92*(1+0.3),-1)</f>
        <v>60</v>
      </c>
      <c r="G90" s="488">
        <v>72</v>
      </c>
      <c r="H90" s="485">
        <f>ROUND(H92*(1+0.3),-1)</f>
        <v>90</v>
      </c>
      <c r="I90" s="488">
        <v>108</v>
      </c>
      <c r="J90" s="485">
        <f>ROUND(J92*(1+0.3),-1)</f>
        <v>120</v>
      </c>
      <c r="K90" s="488">
        <v>144</v>
      </c>
      <c r="L90" s="485">
        <v>140</v>
      </c>
      <c r="M90" s="488">
        <v>168</v>
      </c>
      <c r="N90" s="485">
        <f>ROUND(N92*(1+0.3),-1)</f>
        <v>160</v>
      </c>
      <c r="O90" s="488">
        <v>192</v>
      </c>
      <c r="P90" s="485">
        <f>ROUND(P92*(1+0.3),-1)</f>
        <v>40</v>
      </c>
      <c r="Q90" s="523" t="s">
        <v>47</v>
      </c>
      <c r="R90" s="485">
        <f>ROUND(R92*(1+0.3),-1)</f>
        <v>60</v>
      </c>
      <c r="S90" s="531" t="s">
        <v>47</v>
      </c>
      <c r="T90" s="485" t="s">
        <v>47</v>
      </c>
      <c r="U90" s="531" t="s">
        <v>47</v>
      </c>
      <c r="V90" s="264"/>
      <c r="W90" s="264"/>
    </row>
    <row r="91" spans="1:28" s="266" customFormat="1" ht="12.75" hidden="1" customHeight="1" outlineLevel="1">
      <c r="B91" s="966"/>
      <c r="C91" s="929"/>
      <c r="D91" s="370" t="s">
        <v>324</v>
      </c>
      <c r="E91" s="371"/>
      <c r="F91" s="669">
        <f>ROUND(F92*(1+0.3),-1)</f>
        <v>60</v>
      </c>
      <c r="G91" s="670">
        <v>72</v>
      </c>
      <c r="H91" s="669">
        <f>ROUND(H92*(1+0.3),-1)</f>
        <v>90</v>
      </c>
      <c r="I91" s="670">
        <v>108</v>
      </c>
      <c r="J91" s="669">
        <f>ROUND(J92*(1+0.3),-1)</f>
        <v>120</v>
      </c>
      <c r="K91" s="670">
        <v>144</v>
      </c>
      <c r="L91" s="669">
        <v>140</v>
      </c>
      <c r="M91" s="670">
        <v>168</v>
      </c>
      <c r="N91" s="669">
        <f>ROUND(N92*(1+0.3),-1)</f>
        <v>160</v>
      </c>
      <c r="O91" s="670">
        <v>192</v>
      </c>
      <c r="P91" s="669">
        <f>ROUND(P92*(1+0.3),-1)</f>
        <v>40</v>
      </c>
      <c r="Q91" s="524" t="s">
        <v>47</v>
      </c>
      <c r="R91" s="669">
        <f>ROUND(R92*(1+0.3),-1)</f>
        <v>60</v>
      </c>
      <c r="S91" s="532" t="s">
        <v>47</v>
      </c>
      <c r="T91" s="669" t="s">
        <v>47</v>
      </c>
      <c r="U91" s="532" t="s">
        <v>47</v>
      </c>
      <c r="V91" s="264"/>
      <c r="W91" s="264"/>
    </row>
    <row r="92" spans="1:28" s="84" customFormat="1" ht="36" customHeight="1" collapsed="1">
      <c r="A92" s="266"/>
      <c r="B92" s="966"/>
      <c r="C92" s="1012"/>
      <c r="D92" s="742" t="str">
        <f>D85&amp;", "&amp;D86&amp;", "&amp;D87&amp;", "&amp;D88&amp;", "&amp;D89&amp;", "&amp;D90&amp;", "&amp;D91</f>
        <v>WP Tech, WP Gry, WP Fotoblogia, WP Gadżetomania, WP Komórkomania, dobreprogramy.pl⁵, polygamia.pl</v>
      </c>
      <c r="E92" s="743"/>
      <c r="F92" s="418">
        <v>45</v>
      </c>
      <c r="G92" s="431">
        <v>54</v>
      </c>
      <c r="H92" s="418">
        <v>68</v>
      </c>
      <c r="I92" s="431">
        <v>81</v>
      </c>
      <c r="J92" s="418">
        <v>90</v>
      </c>
      <c r="K92" s="431">
        <v>108</v>
      </c>
      <c r="L92" s="412" t="s">
        <v>47</v>
      </c>
      <c r="M92" s="431" t="s">
        <v>47</v>
      </c>
      <c r="N92" s="412">
        <v>120</v>
      </c>
      <c r="O92" s="431">
        <v>144</v>
      </c>
      <c r="P92" s="504">
        <v>34</v>
      </c>
      <c r="Q92" s="525" t="s">
        <v>47</v>
      </c>
      <c r="R92" s="508">
        <v>45</v>
      </c>
      <c r="S92" s="537" t="s">
        <v>47</v>
      </c>
      <c r="T92" s="508" t="s">
        <v>47</v>
      </c>
      <c r="U92" s="537" t="s">
        <v>47</v>
      </c>
      <c r="V92" s="264"/>
      <c r="W92" s="264"/>
      <c r="X92" s="266"/>
      <c r="Y92" s="266"/>
      <c r="Z92" s="266"/>
      <c r="AA92" s="266"/>
      <c r="AB92" s="266"/>
    </row>
    <row r="93" spans="1:28" s="266" customFormat="1" ht="12.75" hidden="1" customHeight="1" outlineLevel="1">
      <c r="B93" s="966"/>
      <c r="C93" s="992" t="str">
        <f>IF('Język - Language'!$B$30="Polski","ZDROWIE I PARENTING","HEALTH AND PARENTING")</f>
        <v>ZDROWIE I PARENTING</v>
      </c>
      <c r="D93" s="368" t="s">
        <v>32</v>
      </c>
      <c r="E93" s="369"/>
      <c r="F93" s="411">
        <f>ROUND(F98*(1+0.3),-1)</f>
        <v>110</v>
      </c>
      <c r="G93" s="436">
        <v>132</v>
      </c>
      <c r="H93" s="411">
        <f>ROUND(H98*(1+0.3),-1)</f>
        <v>160</v>
      </c>
      <c r="I93" s="436">
        <v>192</v>
      </c>
      <c r="J93" s="411">
        <f>ROUND(J98*(1+0.3),-1)</f>
        <v>210</v>
      </c>
      <c r="K93" s="436">
        <v>252</v>
      </c>
      <c r="L93" s="411">
        <v>240</v>
      </c>
      <c r="M93" s="436">
        <v>288</v>
      </c>
      <c r="N93" s="411">
        <f>ROUND(N98*(1+0.3),-1)</f>
        <v>270</v>
      </c>
      <c r="O93" s="436">
        <v>324</v>
      </c>
      <c r="P93" s="484">
        <f>ROUND(P98*(1+0.3),-1)</f>
        <v>80</v>
      </c>
      <c r="Q93" s="522" t="s">
        <v>47</v>
      </c>
      <c r="R93" s="484">
        <f>ROUND(R98*(1+0.3),-1)</f>
        <v>110</v>
      </c>
      <c r="S93" s="530" t="s">
        <v>47</v>
      </c>
      <c r="T93" s="484" t="s">
        <v>47</v>
      </c>
      <c r="U93" s="530" t="s">
        <v>47</v>
      </c>
      <c r="V93" s="264"/>
      <c r="W93" s="264"/>
    </row>
    <row r="94" spans="1:28" s="266" customFormat="1" ht="12.75" hidden="1" customHeight="1" outlineLevel="1">
      <c r="B94" s="966"/>
      <c r="C94" s="976"/>
      <c r="D94" s="372" t="s">
        <v>137</v>
      </c>
      <c r="E94" s="373"/>
      <c r="F94" s="413">
        <f>ROUND(F98*(1+0.3),-1)</f>
        <v>110</v>
      </c>
      <c r="G94" s="437">
        <v>132</v>
      </c>
      <c r="H94" s="413">
        <f>ROUND(H98*(1+0.3),-1)</f>
        <v>160</v>
      </c>
      <c r="I94" s="437">
        <v>192</v>
      </c>
      <c r="J94" s="413">
        <f>ROUND(J98*(1+0.3),-1)</f>
        <v>210</v>
      </c>
      <c r="K94" s="437">
        <v>252</v>
      </c>
      <c r="L94" s="413">
        <v>240</v>
      </c>
      <c r="M94" s="437">
        <v>288</v>
      </c>
      <c r="N94" s="413">
        <f>ROUND(N98*(1+0.3),-1)</f>
        <v>270</v>
      </c>
      <c r="O94" s="437">
        <v>324</v>
      </c>
      <c r="P94" s="485">
        <f>ROUND(P98*(1+0.3),-1)</f>
        <v>80</v>
      </c>
      <c r="Q94" s="523" t="s">
        <v>47</v>
      </c>
      <c r="R94" s="485">
        <f>ROUND(R98*(1+0.3),-1)</f>
        <v>110</v>
      </c>
      <c r="S94" s="531" t="s">
        <v>47</v>
      </c>
      <c r="T94" s="485" t="s">
        <v>47</v>
      </c>
      <c r="U94" s="531" t="s">
        <v>47</v>
      </c>
      <c r="V94" s="264"/>
      <c r="W94" s="264"/>
    </row>
    <row r="95" spans="1:28" s="266" customFormat="1" ht="12.75" hidden="1" customHeight="1" outlineLevel="1">
      <c r="B95" s="966"/>
      <c r="C95" s="976"/>
      <c r="D95" s="372" t="s">
        <v>33</v>
      </c>
      <c r="E95" s="373"/>
      <c r="F95" s="413">
        <f>ROUND(F98*(1+0.3),-1)</f>
        <v>110</v>
      </c>
      <c r="G95" s="437">
        <v>132</v>
      </c>
      <c r="H95" s="413">
        <f>ROUND(H98*(1+0.3),-1)</f>
        <v>160</v>
      </c>
      <c r="I95" s="437">
        <v>192</v>
      </c>
      <c r="J95" s="413">
        <f>ROUND(J98*(1+0.3),-1)</f>
        <v>210</v>
      </c>
      <c r="K95" s="437">
        <v>252</v>
      </c>
      <c r="L95" s="413">
        <v>240</v>
      </c>
      <c r="M95" s="437">
        <v>288</v>
      </c>
      <c r="N95" s="413">
        <f>ROUND(N98*(1+0.3),-1)</f>
        <v>270</v>
      </c>
      <c r="O95" s="437">
        <v>324</v>
      </c>
      <c r="P95" s="485">
        <f>ROUND(P98*(1+0.3),-1)</f>
        <v>80</v>
      </c>
      <c r="Q95" s="523" t="s">
        <v>47</v>
      </c>
      <c r="R95" s="485">
        <f>ROUND(R98*(1+0.3),-1)</f>
        <v>110</v>
      </c>
      <c r="S95" s="531" t="s">
        <v>47</v>
      </c>
      <c r="T95" s="485" t="s">
        <v>47</v>
      </c>
      <c r="U95" s="531" t="s">
        <v>47</v>
      </c>
      <c r="V95" s="264"/>
      <c r="W95" s="264"/>
    </row>
    <row r="96" spans="1:28" s="266" customFormat="1" ht="12.75" hidden="1" customHeight="1" outlineLevel="1">
      <c r="B96" s="966"/>
      <c r="C96" s="976"/>
      <c r="D96" s="372" t="s">
        <v>140</v>
      </c>
      <c r="E96" s="373"/>
      <c r="F96" s="413">
        <f>ROUND(F98*(1+0.3),-1)</f>
        <v>110</v>
      </c>
      <c r="G96" s="437">
        <v>132</v>
      </c>
      <c r="H96" s="413">
        <f>ROUND(H98*(1+0.3),-1)</f>
        <v>160</v>
      </c>
      <c r="I96" s="437">
        <v>192</v>
      </c>
      <c r="J96" s="413">
        <f>ROUND(J98*(1+0.3),-1)</f>
        <v>210</v>
      </c>
      <c r="K96" s="437">
        <v>252</v>
      </c>
      <c r="L96" s="413">
        <v>240</v>
      </c>
      <c r="M96" s="437">
        <v>288</v>
      </c>
      <c r="N96" s="413">
        <f>ROUND(N98*(1+0.3),-1)</f>
        <v>270</v>
      </c>
      <c r="O96" s="437">
        <v>324</v>
      </c>
      <c r="P96" s="485">
        <f>ROUND(P98*(1+0.3),-1)</f>
        <v>80</v>
      </c>
      <c r="Q96" s="523" t="s">
        <v>47</v>
      </c>
      <c r="R96" s="485">
        <f>ROUND(R98*(1+0.3),-1)</f>
        <v>110</v>
      </c>
      <c r="S96" s="531" t="s">
        <v>47</v>
      </c>
      <c r="T96" s="485" t="s">
        <v>47</v>
      </c>
      <c r="U96" s="531" t="s">
        <v>47</v>
      </c>
      <c r="V96" s="264"/>
      <c r="W96" s="264"/>
    </row>
    <row r="97" spans="1:28" s="266" customFormat="1" ht="12.75" hidden="1" customHeight="1" outlineLevel="1">
      <c r="B97" s="966"/>
      <c r="C97" s="976"/>
      <c r="D97" s="370" t="s">
        <v>141</v>
      </c>
      <c r="E97" s="371"/>
      <c r="F97" s="415">
        <f>ROUND(F98*(1+0.3),-1)</f>
        <v>110</v>
      </c>
      <c r="G97" s="438">
        <v>132</v>
      </c>
      <c r="H97" s="415">
        <f>ROUND(H98*(1+0.3),-1)</f>
        <v>160</v>
      </c>
      <c r="I97" s="438">
        <v>192</v>
      </c>
      <c r="J97" s="415">
        <f>ROUND(J98*(1+0.3),-1)</f>
        <v>210</v>
      </c>
      <c r="K97" s="438">
        <v>252</v>
      </c>
      <c r="L97" s="415">
        <v>240</v>
      </c>
      <c r="M97" s="438">
        <v>288</v>
      </c>
      <c r="N97" s="415">
        <f>ROUND(N98*(1+0.3),-1)</f>
        <v>270</v>
      </c>
      <c r="O97" s="438">
        <v>324</v>
      </c>
      <c r="P97" s="486">
        <f>ROUND(P98*(1+0.3),-1)</f>
        <v>80</v>
      </c>
      <c r="Q97" s="519" t="s">
        <v>47</v>
      </c>
      <c r="R97" s="486">
        <f>ROUND(R98*(1+0.3),-1)</f>
        <v>110</v>
      </c>
      <c r="S97" s="527" t="s">
        <v>47</v>
      </c>
      <c r="T97" s="486" t="s">
        <v>47</v>
      </c>
      <c r="U97" s="527" t="s">
        <v>47</v>
      </c>
      <c r="V97" s="264"/>
      <c r="W97" s="264"/>
    </row>
    <row r="98" spans="1:28" s="87" customFormat="1" ht="36" customHeight="1" collapsed="1">
      <c r="A98" s="266"/>
      <c r="B98" s="966"/>
      <c r="C98" s="977"/>
      <c r="D98" s="1013" t="str">
        <f>D93&amp;", "&amp;D94&amp;", "&amp;D95&amp;", "&amp;D96&amp;", "&amp;D97</f>
        <v>WP abcZdrowie, WP Fitness, WP Parenting, Medycyna24, Nerwica.com</v>
      </c>
      <c r="E98" s="1014"/>
      <c r="F98" s="407">
        <v>83</v>
      </c>
      <c r="G98" s="433">
        <v>99</v>
      </c>
      <c r="H98" s="407">
        <v>120</v>
      </c>
      <c r="I98" s="433">
        <v>144</v>
      </c>
      <c r="J98" s="407">
        <v>165</v>
      </c>
      <c r="K98" s="433">
        <v>198</v>
      </c>
      <c r="L98" s="420" t="s">
        <v>47</v>
      </c>
      <c r="M98" s="433" t="s">
        <v>47</v>
      </c>
      <c r="N98" s="420">
        <v>210</v>
      </c>
      <c r="O98" s="433">
        <v>252</v>
      </c>
      <c r="P98" s="504">
        <v>60</v>
      </c>
      <c r="Q98" s="525" t="s">
        <v>47</v>
      </c>
      <c r="R98" s="508">
        <v>83</v>
      </c>
      <c r="S98" s="538" t="s">
        <v>47</v>
      </c>
      <c r="T98" s="508" t="s">
        <v>47</v>
      </c>
      <c r="U98" s="538" t="s">
        <v>47</v>
      </c>
      <c r="V98" s="264"/>
      <c r="W98" s="264"/>
      <c r="X98" s="266"/>
      <c r="Y98" s="266"/>
      <c r="Z98" s="266"/>
      <c r="AA98" s="266"/>
      <c r="AB98" s="266"/>
    </row>
    <row r="99" spans="1:28" s="266" customFormat="1" ht="12.75" hidden="1" customHeight="1" outlineLevel="1">
      <c r="B99" s="966"/>
      <c r="C99" s="992" t="str">
        <f>IF('Język - Language'!$B$30="Polski","WIDEO I AUDIO","VIDEO AND AUDIO")</f>
        <v>WIDEO I AUDIO</v>
      </c>
      <c r="D99" s="376" t="s">
        <v>124</v>
      </c>
      <c r="E99" s="377"/>
      <c r="F99" s="409">
        <f>ROUND(F102*(1+0.3),-1)</f>
        <v>60</v>
      </c>
      <c r="G99" s="434">
        <v>72</v>
      </c>
      <c r="H99" s="409">
        <f>ROUND(H102*(1+0.3),-1)</f>
        <v>90</v>
      </c>
      <c r="I99" s="434">
        <v>108</v>
      </c>
      <c r="J99" s="409">
        <f>ROUND(J102*(1+0.3),-1)</f>
        <v>120</v>
      </c>
      <c r="K99" s="434">
        <v>144</v>
      </c>
      <c r="L99" s="409" t="s">
        <v>47</v>
      </c>
      <c r="M99" s="434" t="s">
        <v>47</v>
      </c>
      <c r="N99" s="409" t="s">
        <v>47</v>
      </c>
      <c r="O99" s="410" t="s">
        <v>47</v>
      </c>
      <c r="P99" s="473" t="s">
        <v>47</v>
      </c>
      <c r="Q99" s="522" t="s">
        <v>47</v>
      </c>
      <c r="R99" s="515" t="s">
        <v>47</v>
      </c>
      <c r="S99" s="540" t="s">
        <v>47</v>
      </c>
      <c r="T99" s="515" t="s">
        <v>47</v>
      </c>
      <c r="U99" s="540" t="s">
        <v>47</v>
      </c>
      <c r="V99" s="264"/>
      <c r="W99" s="264"/>
    </row>
    <row r="100" spans="1:28" s="266" customFormat="1" ht="12.75" hidden="1" customHeight="1" outlineLevel="1">
      <c r="B100" s="966"/>
      <c r="C100" s="976"/>
      <c r="D100" s="378" t="s">
        <v>132</v>
      </c>
      <c r="E100" s="379"/>
      <c r="F100" s="422">
        <f>ROUND(F102*(1+0.3),-1)</f>
        <v>60</v>
      </c>
      <c r="G100" s="439">
        <v>72</v>
      </c>
      <c r="H100" s="422">
        <f>ROUND(H102*(1+0.3),-1)</f>
        <v>90</v>
      </c>
      <c r="I100" s="439">
        <v>108</v>
      </c>
      <c r="J100" s="422">
        <f>ROUND(J102*(1+0.3),-1)</f>
        <v>120</v>
      </c>
      <c r="K100" s="439">
        <v>144</v>
      </c>
      <c r="L100" s="422">
        <v>140</v>
      </c>
      <c r="M100" s="439">
        <v>168</v>
      </c>
      <c r="N100" s="422" t="s">
        <v>47</v>
      </c>
      <c r="O100" s="423" t="s">
        <v>47</v>
      </c>
      <c r="P100" s="474" t="s">
        <v>47</v>
      </c>
      <c r="Q100" s="523" t="s">
        <v>47</v>
      </c>
      <c r="R100" s="516" t="s">
        <v>47</v>
      </c>
      <c r="S100" s="541" t="s">
        <v>47</v>
      </c>
      <c r="T100" s="516" t="s">
        <v>47</v>
      </c>
      <c r="U100" s="541" t="s">
        <v>47</v>
      </c>
      <c r="V100" s="264"/>
      <c r="W100" s="264"/>
    </row>
    <row r="101" spans="1:28" s="266" customFormat="1" ht="12.75" hidden="1" customHeight="1" outlineLevel="1">
      <c r="B101" s="966"/>
      <c r="C101" s="976"/>
      <c r="D101" s="374" t="s">
        <v>134</v>
      </c>
      <c r="E101" s="375"/>
      <c r="F101" s="424">
        <f>ROUND(F102*(1+0.3),-1)</f>
        <v>60</v>
      </c>
      <c r="G101" s="435">
        <v>72</v>
      </c>
      <c r="H101" s="424">
        <f>ROUND(H102*(1+0.3),-1)</f>
        <v>90</v>
      </c>
      <c r="I101" s="435">
        <v>108</v>
      </c>
      <c r="J101" s="424">
        <f>ROUND(J102*(1+0.3),-1)</f>
        <v>120</v>
      </c>
      <c r="K101" s="435">
        <v>144</v>
      </c>
      <c r="L101" s="424" t="s">
        <v>47</v>
      </c>
      <c r="M101" s="435" t="s">
        <v>47</v>
      </c>
      <c r="N101" s="424" t="s">
        <v>47</v>
      </c>
      <c r="O101" s="425" t="s">
        <v>47</v>
      </c>
      <c r="P101" s="514" t="s">
        <v>47</v>
      </c>
      <c r="Q101" s="524" t="s">
        <v>47</v>
      </c>
      <c r="R101" s="445" t="s">
        <v>47</v>
      </c>
      <c r="S101" s="542" t="s">
        <v>47</v>
      </c>
      <c r="T101" s="445" t="s">
        <v>47</v>
      </c>
      <c r="U101" s="542" t="s">
        <v>47</v>
      </c>
      <c r="V101" s="264"/>
      <c r="W101" s="264"/>
    </row>
    <row r="102" spans="1:28" s="227" customFormat="1" ht="36" customHeight="1" collapsed="1">
      <c r="A102" s="266"/>
      <c r="B102" s="966"/>
      <c r="C102" s="977"/>
      <c r="D102" s="1013" t="str">
        <f>D99&amp;", "&amp;D100&amp;", "&amp;D101</f>
        <v>WP Pilot, WP Wideo, OpenFM</v>
      </c>
      <c r="E102" s="1014"/>
      <c r="F102" s="407">
        <v>45</v>
      </c>
      <c r="G102" s="430">
        <v>54</v>
      </c>
      <c r="H102" s="407">
        <v>68</v>
      </c>
      <c r="I102" s="430">
        <v>81</v>
      </c>
      <c r="J102" s="407">
        <v>90</v>
      </c>
      <c r="K102" s="430">
        <v>108</v>
      </c>
      <c r="L102" s="420" t="s">
        <v>47</v>
      </c>
      <c r="M102" s="430" t="s">
        <v>47</v>
      </c>
      <c r="N102" s="420" t="s">
        <v>47</v>
      </c>
      <c r="O102" s="421" t="s">
        <v>47</v>
      </c>
      <c r="P102" s="504">
        <v>34</v>
      </c>
      <c r="Q102" s="518" t="s">
        <v>47</v>
      </c>
      <c r="R102" s="508">
        <v>45</v>
      </c>
      <c r="S102" s="539" t="s">
        <v>47</v>
      </c>
      <c r="T102" s="508" t="s">
        <v>47</v>
      </c>
      <c r="U102" s="539" t="s">
        <v>47</v>
      </c>
      <c r="V102" s="264"/>
      <c r="W102" s="264"/>
      <c r="X102" s="266"/>
      <c r="Y102" s="266"/>
      <c r="Z102" s="266"/>
      <c r="AA102" s="266"/>
      <c r="AB102" s="266"/>
    </row>
    <row r="103" spans="1:28" s="266" customFormat="1" ht="12.75" hidden="1" customHeight="1" outlineLevel="1">
      <c r="B103" s="966"/>
      <c r="C103" s="1011" t="str">
        <f>IF('Język - Language'!$B$30="Polski","PAKIET SPECJALNY 'KOBIETA'","DEDICATED PACKAGE 'WOMAN'")</f>
        <v>PAKIET SPECJALNY 'KOBIETA'</v>
      </c>
      <c r="D103" s="376" t="s">
        <v>135</v>
      </c>
      <c r="E103" s="377"/>
      <c r="F103" s="409">
        <f>ROUND(F115*(1+0.3),-1)</f>
        <v>60</v>
      </c>
      <c r="G103" s="434">
        <v>72</v>
      </c>
      <c r="H103" s="409">
        <f>ROUND(H115*(1+0.3),-1)</f>
        <v>90</v>
      </c>
      <c r="I103" s="434">
        <v>108</v>
      </c>
      <c r="J103" s="409">
        <f>ROUND(J115*(1+0.3),-1)</f>
        <v>120</v>
      </c>
      <c r="K103" s="434">
        <v>144</v>
      </c>
      <c r="L103" s="473">
        <v>140</v>
      </c>
      <c r="M103" s="476">
        <v>168</v>
      </c>
      <c r="N103" s="409">
        <f>ROUND(N115*(1+0.3),-1)</f>
        <v>160</v>
      </c>
      <c r="O103" s="434">
        <v>192</v>
      </c>
      <c r="P103" s="473">
        <f>ROUND(P115*(1+0.3),-1)</f>
        <v>40</v>
      </c>
      <c r="Q103" s="522" t="s">
        <v>47</v>
      </c>
      <c r="R103" s="473">
        <f>ROUND(R115*(1+0.3),-1)</f>
        <v>60</v>
      </c>
      <c r="S103" s="540" t="s">
        <v>47</v>
      </c>
      <c r="T103" s="473" t="s">
        <v>47</v>
      </c>
      <c r="U103" s="540" t="s">
        <v>47</v>
      </c>
      <c r="V103" s="264"/>
      <c r="W103" s="264"/>
    </row>
    <row r="104" spans="1:28" s="266" customFormat="1" ht="12.75" hidden="1" customHeight="1" outlineLevel="1">
      <c r="B104" s="966"/>
      <c r="C104" s="929"/>
      <c r="D104" s="378" t="s">
        <v>39</v>
      </c>
      <c r="E104" s="379"/>
      <c r="F104" s="422">
        <f>ROUND(F115*(1+0.3),-1)</f>
        <v>60</v>
      </c>
      <c r="G104" s="439">
        <v>72</v>
      </c>
      <c r="H104" s="422">
        <f>ROUND(H115*(1+0.3),-1)</f>
        <v>90</v>
      </c>
      <c r="I104" s="439">
        <v>108</v>
      </c>
      <c r="J104" s="422">
        <f>ROUND(J115*(1+0.3),-1)</f>
        <v>120</v>
      </c>
      <c r="K104" s="439">
        <v>144</v>
      </c>
      <c r="L104" s="474">
        <v>140</v>
      </c>
      <c r="M104" s="478">
        <v>168</v>
      </c>
      <c r="N104" s="422">
        <f>ROUND(N115*(1+0.3),-1)</f>
        <v>160</v>
      </c>
      <c r="O104" s="439">
        <v>192</v>
      </c>
      <c r="P104" s="474">
        <f>ROUND(P115*(1+0.3),-1)</f>
        <v>40</v>
      </c>
      <c r="Q104" s="523" t="s">
        <v>47</v>
      </c>
      <c r="R104" s="474">
        <f>ROUND(R115*(1+0.3),-1)</f>
        <v>60</v>
      </c>
      <c r="S104" s="541" t="s">
        <v>47</v>
      </c>
      <c r="T104" s="474" t="s">
        <v>47</v>
      </c>
      <c r="U104" s="541" t="s">
        <v>47</v>
      </c>
      <c r="V104" s="264"/>
      <c r="W104" s="264"/>
    </row>
    <row r="105" spans="1:28" s="266" customFormat="1" ht="12.75" hidden="1" customHeight="1" outlineLevel="1">
      <c r="B105" s="966"/>
      <c r="C105" s="929"/>
      <c r="D105" s="378" t="s">
        <v>44</v>
      </c>
      <c r="E105" s="379"/>
      <c r="F105" s="422">
        <f>ROUND(F69*(1+1),-1)</f>
        <v>60</v>
      </c>
      <c r="G105" s="439">
        <v>72</v>
      </c>
      <c r="H105" s="422">
        <f>ROUND(H69*(1+1),-1)</f>
        <v>90</v>
      </c>
      <c r="I105" s="439">
        <v>108</v>
      </c>
      <c r="J105" s="422">
        <f>ROUND(J69*(1+1),-1)</f>
        <v>120</v>
      </c>
      <c r="K105" s="439">
        <v>144</v>
      </c>
      <c r="L105" s="472">
        <v>140</v>
      </c>
      <c r="M105" s="478">
        <v>168</v>
      </c>
      <c r="N105" s="406">
        <f>ROUND(N69*(1+1),-1)</f>
        <v>160</v>
      </c>
      <c r="O105" s="439">
        <v>192</v>
      </c>
      <c r="P105" s="472">
        <f>ROUND(P69*(1+1),-1)</f>
        <v>50</v>
      </c>
      <c r="Q105" s="523" t="s">
        <v>47</v>
      </c>
      <c r="R105" s="472">
        <f>ROUND(R69*(1+1),-1)</f>
        <v>60</v>
      </c>
      <c r="S105" s="541" t="s">
        <v>47</v>
      </c>
      <c r="T105" s="472" t="s">
        <v>47</v>
      </c>
      <c r="U105" s="541" t="s">
        <v>47</v>
      </c>
      <c r="V105" s="264"/>
      <c r="W105" s="264"/>
    </row>
    <row r="106" spans="1:28" s="266" customFormat="1" ht="12.75" hidden="1" customHeight="1" outlineLevel="1">
      <c r="B106" s="966"/>
      <c r="C106" s="929"/>
      <c r="D106" s="378" t="s">
        <v>211</v>
      </c>
      <c r="E106" s="379"/>
      <c r="F106" s="474">
        <f>ROUND(F84*(1+0.3),-1)</f>
        <v>60</v>
      </c>
      <c r="G106" s="478">
        <v>72</v>
      </c>
      <c r="H106" s="474">
        <f>ROUND(H84*(1+0.3),-1)</f>
        <v>90</v>
      </c>
      <c r="I106" s="478">
        <v>108</v>
      </c>
      <c r="J106" s="474">
        <f>ROUND(J84*(1+0.3),-1)</f>
        <v>120</v>
      </c>
      <c r="K106" s="478">
        <v>144</v>
      </c>
      <c r="L106" s="472">
        <v>140</v>
      </c>
      <c r="M106" s="478">
        <v>168</v>
      </c>
      <c r="N106" s="472">
        <f>ROUND(N84*(1+0.3),-1)</f>
        <v>160</v>
      </c>
      <c r="O106" s="478">
        <v>192</v>
      </c>
      <c r="P106" s="472">
        <f>ROUND(P84*(1+0.3),-1)</f>
        <v>40</v>
      </c>
      <c r="Q106" s="523" t="s">
        <v>47</v>
      </c>
      <c r="R106" s="472">
        <f>ROUND(R84*(1+0.3),-1)</f>
        <v>60</v>
      </c>
      <c r="S106" s="541" t="s">
        <v>47</v>
      </c>
      <c r="T106" s="472" t="s">
        <v>47</v>
      </c>
      <c r="U106" s="541" t="s">
        <v>47</v>
      </c>
      <c r="V106" s="264"/>
      <c r="W106" s="264"/>
    </row>
    <row r="107" spans="1:28" s="266" customFormat="1" ht="12.75" hidden="1" customHeight="1" outlineLevel="1">
      <c r="B107" s="966"/>
      <c r="C107" s="929"/>
      <c r="D107" s="378" t="s">
        <v>53</v>
      </c>
      <c r="E107" s="379"/>
      <c r="F107" s="422">
        <f>ROUND(F69*(1+0.3),-1)</f>
        <v>40</v>
      </c>
      <c r="G107" s="439">
        <v>48</v>
      </c>
      <c r="H107" s="422">
        <f>ROUND(H69*(1+0.3),-1)</f>
        <v>60</v>
      </c>
      <c r="I107" s="439">
        <v>72</v>
      </c>
      <c r="J107" s="422">
        <f>ROUND(J69*(1+0.3),-1)</f>
        <v>80</v>
      </c>
      <c r="K107" s="439">
        <v>96</v>
      </c>
      <c r="L107" s="474">
        <v>90</v>
      </c>
      <c r="M107" s="478">
        <v>108</v>
      </c>
      <c r="N107" s="422">
        <f>ROUND(N69*(1+0.3),-1)</f>
        <v>100</v>
      </c>
      <c r="O107" s="439">
        <v>120</v>
      </c>
      <c r="P107" s="474">
        <f>ROUND(P69*(1+0.3),-1)</f>
        <v>30</v>
      </c>
      <c r="Q107" s="523" t="s">
        <v>47</v>
      </c>
      <c r="R107" s="474">
        <f>ROUND(R69*(1+0.3),-1)</f>
        <v>40</v>
      </c>
      <c r="S107" s="541" t="s">
        <v>47</v>
      </c>
      <c r="T107" s="474" t="s">
        <v>47</v>
      </c>
      <c r="U107" s="541" t="s">
        <v>47</v>
      </c>
      <c r="V107" s="264"/>
      <c r="W107" s="264"/>
    </row>
    <row r="108" spans="1:28" s="266" customFormat="1" ht="12.75" hidden="1" customHeight="1" outlineLevel="1">
      <c r="B108" s="966"/>
      <c r="C108" s="929"/>
      <c r="D108" s="378" t="s">
        <v>41</v>
      </c>
      <c r="E108" s="379"/>
      <c r="F108" s="422">
        <f>ROUND(F84*(1+0.3),-1)</f>
        <v>60</v>
      </c>
      <c r="G108" s="439">
        <v>72</v>
      </c>
      <c r="H108" s="422">
        <f>ROUND(H84*(1+0.3),-1)</f>
        <v>90</v>
      </c>
      <c r="I108" s="439">
        <v>108</v>
      </c>
      <c r="J108" s="422">
        <f>ROUND(J84*(1+0.3),-1)</f>
        <v>120</v>
      </c>
      <c r="K108" s="439">
        <v>144</v>
      </c>
      <c r="L108" s="474">
        <v>140</v>
      </c>
      <c r="M108" s="478">
        <v>168</v>
      </c>
      <c r="N108" s="422">
        <f>ROUND(N84*(1+0.3),-1)</f>
        <v>160</v>
      </c>
      <c r="O108" s="439">
        <v>192</v>
      </c>
      <c r="P108" s="474">
        <f>ROUND(P84*(1+0.3),-1)</f>
        <v>40</v>
      </c>
      <c r="Q108" s="523" t="s">
        <v>47</v>
      </c>
      <c r="R108" s="474">
        <f>ROUND(R84*(1+0.3),-1)</f>
        <v>60</v>
      </c>
      <c r="S108" s="541" t="s">
        <v>47</v>
      </c>
      <c r="T108" s="474" t="s">
        <v>47</v>
      </c>
      <c r="U108" s="541" t="s">
        <v>47</v>
      </c>
      <c r="V108" s="264"/>
      <c r="W108" s="264"/>
    </row>
    <row r="109" spans="1:28" s="266" customFormat="1" ht="12.75" hidden="1" customHeight="1" outlineLevel="1">
      <c r="B109" s="966"/>
      <c r="C109" s="929"/>
      <c r="D109" s="378" t="s">
        <v>137</v>
      </c>
      <c r="E109" s="379"/>
      <c r="F109" s="422">
        <f>ROUND(F98*(1+0.3),-1)</f>
        <v>110</v>
      </c>
      <c r="G109" s="439">
        <v>132</v>
      </c>
      <c r="H109" s="422">
        <f>ROUND(H98*(1+0.3),-1)</f>
        <v>160</v>
      </c>
      <c r="I109" s="439">
        <v>192</v>
      </c>
      <c r="J109" s="422">
        <f>ROUND(J98*(1+0.3),-1)</f>
        <v>210</v>
      </c>
      <c r="K109" s="439">
        <v>252</v>
      </c>
      <c r="L109" s="474">
        <v>240</v>
      </c>
      <c r="M109" s="478">
        <v>288</v>
      </c>
      <c r="N109" s="422">
        <f>ROUND(N98*(1+0.3),-1)</f>
        <v>270</v>
      </c>
      <c r="O109" s="439">
        <v>324</v>
      </c>
      <c r="P109" s="474">
        <f>ROUND(P98*(1+0.3),-1)</f>
        <v>80</v>
      </c>
      <c r="Q109" s="523" t="s">
        <v>47</v>
      </c>
      <c r="R109" s="474">
        <f>ROUND(R98*(1+0.3),-1)</f>
        <v>110</v>
      </c>
      <c r="S109" s="541" t="s">
        <v>47</v>
      </c>
      <c r="T109" s="474" t="s">
        <v>47</v>
      </c>
      <c r="U109" s="541" t="s">
        <v>47</v>
      </c>
      <c r="V109" s="264"/>
      <c r="W109" s="264"/>
    </row>
    <row r="110" spans="1:28" s="266" customFormat="1" ht="12.75" hidden="1" customHeight="1" outlineLevel="1">
      <c r="B110" s="966"/>
      <c r="C110" s="929"/>
      <c r="D110" s="378" t="s">
        <v>32</v>
      </c>
      <c r="E110" s="379"/>
      <c r="F110" s="422">
        <f>ROUND(F98*(1+0.3),-1)</f>
        <v>110</v>
      </c>
      <c r="G110" s="439">
        <v>132</v>
      </c>
      <c r="H110" s="422">
        <f>ROUND(H98*(1+0.3),-1)</f>
        <v>160</v>
      </c>
      <c r="I110" s="439">
        <v>192</v>
      </c>
      <c r="J110" s="422">
        <f>ROUND(J98*(1+0.3),-1)</f>
        <v>210</v>
      </c>
      <c r="K110" s="439">
        <v>252</v>
      </c>
      <c r="L110" s="474">
        <v>240</v>
      </c>
      <c r="M110" s="478">
        <v>288</v>
      </c>
      <c r="N110" s="422">
        <f>ROUND(N98*(1+0.3),-1)</f>
        <v>270</v>
      </c>
      <c r="O110" s="439">
        <v>324</v>
      </c>
      <c r="P110" s="474">
        <f>ROUND(P98*(1+0.3),-1)</f>
        <v>80</v>
      </c>
      <c r="Q110" s="523" t="s">
        <v>47</v>
      </c>
      <c r="R110" s="474">
        <f>ROUND(R98*(1+0.3),-1)</f>
        <v>110</v>
      </c>
      <c r="S110" s="541" t="s">
        <v>47</v>
      </c>
      <c r="T110" s="474" t="s">
        <v>47</v>
      </c>
      <c r="U110" s="541" t="s">
        <v>47</v>
      </c>
      <c r="V110" s="264"/>
      <c r="W110" s="264"/>
    </row>
    <row r="111" spans="1:28" s="266" customFormat="1" ht="12.75" hidden="1" customHeight="1" outlineLevel="1">
      <c r="B111" s="966"/>
      <c r="C111" s="929"/>
      <c r="D111" s="378" t="s">
        <v>33</v>
      </c>
      <c r="E111" s="379"/>
      <c r="F111" s="422">
        <f>ROUND(F98*(1+0.3),-1)</f>
        <v>110</v>
      </c>
      <c r="G111" s="439">
        <v>132</v>
      </c>
      <c r="H111" s="422">
        <f>ROUND(H98*(1+0.3),-1)</f>
        <v>160</v>
      </c>
      <c r="I111" s="439">
        <v>192</v>
      </c>
      <c r="J111" s="422">
        <f>ROUND(J98*(1+0.3),-1)</f>
        <v>210</v>
      </c>
      <c r="K111" s="439">
        <v>252</v>
      </c>
      <c r="L111" s="474">
        <v>240</v>
      </c>
      <c r="M111" s="478">
        <v>288</v>
      </c>
      <c r="N111" s="422">
        <f>ROUND(N98*(1+0.3),-1)</f>
        <v>270</v>
      </c>
      <c r="O111" s="439">
        <v>324</v>
      </c>
      <c r="P111" s="474">
        <f>ROUND(P98*(1+0.3),-1)</f>
        <v>80</v>
      </c>
      <c r="Q111" s="523" t="s">
        <v>47</v>
      </c>
      <c r="R111" s="474">
        <f>ROUND(R98*(1+0.3),-1)</f>
        <v>110</v>
      </c>
      <c r="S111" s="541" t="s">
        <v>47</v>
      </c>
      <c r="T111" s="474" t="s">
        <v>47</v>
      </c>
      <c r="U111" s="541" t="s">
        <v>47</v>
      </c>
      <c r="V111" s="264"/>
      <c r="W111" s="264"/>
    </row>
    <row r="112" spans="1:28" s="266" customFormat="1" ht="12.75" hidden="1" customHeight="1" outlineLevel="1">
      <c r="B112" s="966"/>
      <c r="C112" s="929"/>
      <c r="D112" s="378" t="s">
        <v>124</v>
      </c>
      <c r="E112" s="379"/>
      <c r="F112" s="474">
        <f>ROUND(F102*(1+0.3),-1)</f>
        <v>60</v>
      </c>
      <c r="G112" s="478">
        <v>72</v>
      </c>
      <c r="H112" s="474">
        <f>ROUND(H102*(1+0.3),-1)</f>
        <v>90</v>
      </c>
      <c r="I112" s="478">
        <v>108</v>
      </c>
      <c r="J112" s="474">
        <f>ROUND(J102*(1+0.3),-1)</f>
        <v>120</v>
      </c>
      <c r="K112" s="478">
        <v>144</v>
      </c>
      <c r="L112" s="474" t="s">
        <v>47</v>
      </c>
      <c r="M112" s="478" t="s">
        <v>47</v>
      </c>
      <c r="N112" s="474" t="s">
        <v>47</v>
      </c>
      <c r="O112" s="478" t="s">
        <v>47</v>
      </c>
      <c r="P112" s="474" t="s">
        <v>47</v>
      </c>
      <c r="Q112" s="523"/>
      <c r="R112" s="474" t="s">
        <v>47</v>
      </c>
      <c r="S112" s="541"/>
      <c r="T112" s="474" t="s">
        <v>47</v>
      </c>
      <c r="U112" s="541"/>
      <c r="V112" s="264"/>
      <c r="W112" s="264"/>
    </row>
    <row r="113" spans="2:23" s="266" customFormat="1" ht="12.75" hidden="1" customHeight="1" outlineLevel="1">
      <c r="B113" s="966"/>
      <c r="C113" s="929"/>
      <c r="D113" s="378" t="s">
        <v>131</v>
      </c>
      <c r="E113" s="379"/>
      <c r="F113" s="422">
        <f>ROUND(F69*(1+0.3),-1)</f>
        <v>40</v>
      </c>
      <c r="G113" s="439">
        <v>48</v>
      </c>
      <c r="H113" s="422">
        <f>ROUND(H69*(1+0.3),-1)</f>
        <v>60</v>
      </c>
      <c r="I113" s="439">
        <v>72</v>
      </c>
      <c r="J113" s="422">
        <f>ROUND(J69*(1+0.3),-1)</f>
        <v>80</v>
      </c>
      <c r="K113" s="439">
        <v>96</v>
      </c>
      <c r="L113" s="474">
        <v>90</v>
      </c>
      <c r="M113" s="478">
        <v>108</v>
      </c>
      <c r="N113" s="422">
        <f>ROUND(N69*(1+0.3),-1)</f>
        <v>100</v>
      </c>
      <c r="O113" s="439">
        <v>120</v>
      </c>
      <c r="P113" s="474">
        <f>ROUND(P69*(1+0.3),-1)</f>
        <v>30</v>
      </c>
      <c r="Q113" s="523" t="s">
        <v>47</v>
      </c>
      <c r="R113" s="474">
        <f>ROUND(R69*(1+0.3),-1)</f>
        <v>40</v>
      </c>
      <c r="S113" s="541" t="s">
        <v>47</v>
      </c>
      <c r="T113" s="474" t="s">
        <v>47</v>
      </c>
      <c r="U113" s="541" t="s">
        <v>47</v>
      </c>
      <c r="V113" s="264"/>
      <c r="W113" s="264"/>
    </row>
    <row r="114" spans="2:23" s="266" customFormat="1" ht="12.75" hidden="1" customHeight="1" outlineLevel="1">
      <c r="B114" s="966"/>
      <c r="C114" s="929"/>
      <c r="D114" s="374" t="s">
        <v>40</v>
      </c>
      <c r="E114" s="375"/>
      <c r="F114" s="424">
        <f>ROUND(F69*(1+0.3),-1)</f>
        <v>40</v>
      </c>
      <c r="G114" s="435">
        <v>48</v>
      </c>
      <c r="H114" s="424">
        <f>ROUND(H69*(1+0.3),-1)</f>
        <v>60</v>
      </c>
      <c r="I114" s="435">
        <v>72</v>
      </c>
      <c r="J114" s="424">
        <f>ROUND(J69*(1+0.3),-1)</f>
        <v>80</v>
      </c>
      <c r="K114" s="435">
        <v>96</v>
      </c>
      <c r="L114" s="475">
        <v>90</v>
      </c>
      <c r="M114" s="477">
        <v>108</v>
      </c>
      <c r="N114" s="424">
        <f>ROUND(N69*(1+0.3),-1)</f>
        <v>100</v>
      </c>
      <c r="O114" s="435">
        <v>120</v>
      </c>
      <c r="P114" s="475">
        <f>ROUND(P69*(1+0.3),-1)</f>
        <v>30</v>
      </c>
      <c r="Q114" s="524" t="s">
        <v>47</v>
      </c>
      <c r="R114" s="475">
        <f>ROUND(R69*(1+0.3),-1)</f>
        <v>40</v>
      </c>
      <c r="S114" s="542" t="s">
        <v>47</v>
      </c>
      <c r="T114" s="475" t="s">
        <v>47</v>
      </c>
      <c r="U114" s="542" t="s">
        <v>47</v>
      </c>
      <c r="V114" s="264"/>
      <c r="W114" s="264"/>
    </row>
    <row r="115" spans="2:23" s="266" customFormat="1" ht="42" customHeight="1" collapsed="1">
      <c r="B115" s="966"/>
      <c r="C115" s="1012"/>
      <c r="D115" s="742" t="str">
        <f>D103&amp;", "&amp;D104&amp;", "&amp;D105&amp;", "&amp;D106&amp;", "&amp;D107&amp;", "&amp;D108&amp;", "&amp;D109&amp;", "&amp;D110&amp;", "&amp;D111&amp;", "&amp;D112&amp;", "&amp;D113&amp;", "&amp;D114</f>
        <v>Kafeteria.pl, WP Kobieta, Pudelek, WP Dom, WP Gwiazdy, WP Kuchnia, WP Fitness, WP abcZdrowie, WP Parenting, WP Pilot, WP Teleshow, WP Książki</v>
      </c>
      <c r="E115" s="743"/>
      <c r="F115" s="418">
        <v>45</v>
      </c>
      <c r="G115" s="432">
        <v>54</v>
      </c>
      <c r="H115" s="418">
        <v>68</v>
      </c>
      <c r="I115" s="432">
        <v>81</v>
      </c>
      <c r="J115" s="418">
        <v>90</v>
      </c>
      <c r="K115" s="432">
        <v>108</v>
      </c>
      <c r="L115" s="412" t="s">
        <v>47</v>
      </c>
      <c r="M115" s="431" t="s">
        <v>47</v>
      </c>
      <c r="N115" s="412">
        <v>120</v>
      </c>
      <c r="O115" s="431">
        <v>144</v>
      </c>
      <c r="P115" s="507">
        <v>34</v>
      </c>
      <c r="Q115" s="525" t="s">
        <v>47</v>
      </c>
      <c r="R115" s="508">
        <v>45</v>
      </c>
      <c r="S115" s="538" t="s">
        <v>47</v>
      </c>
      <c r="T115" s="508" t="s">
        <v>47</v>
      </c>
      <c r="U115" s="538" t="s">
        <v>47</v>
      </c>
      <c r="V115" s="264"/>
      <c r="W115" s="264"/>
    </row>
    <row r="116" spans="2:23" s="266" customFormat="1" ht="12.75" hidden="1" customHeight="1" outlineLevel="1">
      <c r="B116" s="966"/>
      <c r="C116" s="1011" t="str">
        <f>IF('Język - Language'!$B$30="Polski","PAKIET SPECJALNY 'MĘŻCZYZNA'","DEDICATED PACKAGE 'MAN'")</f>
        <v>PAKIET SPECJALNY 'MĘŻCZYZNA'</v>
      </c>
      <c r="D116" s="368" t="s">
        <v>25</v>
      </c>
      <c r="E116" s="369"/>
      <c r="F116" s="411">
        <f>ROUND(F52*(1+0.3),-1)</f>
        <v>70</v>
      </c>
      <c r="G116" s="436">
        <v>84</v>
      </c>
      <c r="H116" s="411">
        <f>ROUND(H52*(1+0.3),-1)</f>
        <v>100</v>
      </c>
      <c r="I116" s="436">
        <v>120</v>
      </c>
      <c r="J116" s="411">
        <f>ROUND(J52*(1+0.3),-1)</f>
        <v>140</v>
      </c>
      <c r="K116" s="436">
        <v>168</v>
      </c>
      <c r="L116" s="484">
        <v>160</v>
      </c>
      <c r="M116" s="487">
        <v>192</v>
      </c>
      <c r="N116" s="411">
        <f>ROUND(N52*(1+0.3),-1)</f>
        <v>190</v>
      </c>
      <c r="O116" s="436">
        <v>228</v>
      </c>
      <c r="P116" s="484">
        <f>ROUND(P52*(1+0.3),-1)</f>
        <v>50</v>
      </c>
      <c r="Q116" s="522" t="s">
        <v>47</v>
      </c>
      <c r="R116" s="484">
        <f>ROUND(R52*(1+0.3),-1)</f>
        <v>70</v>
      </c>
      <c r="S116" s="540" t="s">
        <v>47</v>
      </c>
      <c r="T116" s="484" t="s">
        <v>47</v>
      </c>
      <c r="U116" s="540" t="s">
        <v>47</v>
      </c>
      <c r="V116" s="264"/>
      <c r="W116" s="264"/>
    </row>
    <row r="117" spans="2:23" s="266" customFormat="1" ht="12.75" hidden="1" customHeight="1" outlineLevel="1">
      <c r="B117" s="966"/>
      <c r="C117" s="929"/>
      <c r="D117" s="372" t="s">
        <v>42</v>
      </c>
      <c r="E117" s="373"/>
      <c r="F117" s="413">
        <f>ROUND(F84*(1+0.3),-1)</f>
        <v>60</v>
      </c>
      <c r="G117" s="437">
        <v>72</v>
      </c>
      <c r="H117" s="413">
        <f>ROUND(H84*(1+0.3),-1)</f>
        <v>90</v>
      </c>
      <c r="I117" s="437">
        <v>108</v>
      </c>
      <c r="J117" s="413">
        <f>ROUND(J84*(1+0.3),-1)</f>
        <v>120</v>
      </c>
      <c r="K117" s="437">
        <v>144</v>
      </c>
      <c r="L117" s="485">
        <v>140</v>
      </c>
      <c r="M117" s="488">
        <v>168</v>
      </c>
      <c r="N117" s="413">
        <f>ROUND(N84*(1+0.3),-1)</f>
        <v>160</v>
      </c>
      <c r="O117" s="437">
        <v>192</v>
      </c>
      <c r="P117" s="485">
        <f>ROUND(P84*(1+0.3),-1)</f>
        <v>40</v>
      </c>
      <c r="Q117" s="523" t="s">
        <v>47</v>
      </c>
      <c r="R117" s="485">
        <f>ROUND(R84*(1+0.3),-1)</f>
        <v>60</v>
      </c>
      <c r="S117" s="541" t="s">
        <v>47</v>
      </c>
      <c r="T117" s="485" t="s">
        <v>47</v>
      </c>
      <c r="U117" s="541" t="s">
        <v>47</v>
      </c>
      <c r="V117" s="264"/>
      <c r="W117" s="264"/>
    </row>
    <row r="118" spans="2:23" s="266" customFormat="1" ht="12.75" hidden="1" customHeight="1" outlineLevel="1">
      <c r="B118" s="966"/>
      <c r="C118" s="929"/>
      <c r="D118" s="372" t="s">
        <v>211</v>
      </c>
      <c r="E118" s="373"/>
      <c r="F118" s="485">
        <f>ROUND(F84*(1+0.3),-1)</f>
        <v>60</v>
      </c>
      <c r="G118" s="488">
        <v>72</v>
      </c>
      <c r="H118" s="485">
        <f>ROUND(H84*(1+0.3),-1)</f>
        <v>90</v>
      </c>
      <c r="I118" s="488">
        <v>108</v>
      </c>
      <c r="J118" s="485">
        <f>ROUND(J84*(1+0.3),-1)</f>
        <v>120</v>
      </c>
      <c r="K118" s="488">
        <v>144</v>
      </c>
      <c r="L118" s="485">
        <v>140</v>
      </c>
      <c r="M118" s="488">
        <v>168</v>
      </c>
      <c r="N118" s="485">
        <f>ROUND(N84*(1+0.3),-1)</f>
        <v>160</v>
      </c>
      <c r="O118" s="488">
        <v>192</v>
      </c>
      <c r="P118" s="485">
        <f>ROUND(P84*(1+0.3),-1)</f>
        <v>40</v>
      </c>
      <c r="Q118" s="523" t="s">
        <v>47</v>
      </c>
      <c r="R118" s="485">
        <f>ROUND(R84*(1+0.3),-1)</f>
        <v>60</v>
      </c>
      <c r="S118" s="541" t="s">
        <v>47</v>
      </c>
      <c r="T118" s="485" t="s">
        <v>47</v>
      </c>
      <c r="U118" s="541" t="s">
        <v>47</v>
      </c>
      <c r="V118" s="264"/>
      <c r="W118" s="264"/>
    </row>
    <row r="119" spans="2:23" s="266" customFormat="1" ht="12.75" hidden="1" customHeight="1" outlineLevel="1">
      <c r="B119" s="966"/>
      <c r="C119" s="929"/>
      <c r="D119" s="372" t="s">
        <v>35</v>
      </c>
      <c r="E119" s="373"/>
      <c r="F119" s="413">
        <f>ROUND(F56*(1+0.3),-1)</f>
        <v>60</v>
      </c>
      <c r="G119" s="437">
        <v>72</v>
      </c>
      <c r="H119" s="413">
        <f>ROUND(H56*(1+0.3),-1)</f>
        <v>90</v>
      </c>
      <c r="I119" s="437">
        <v>108</v>
      </c>
      <c r="J119" s="413">
        <f>ROUND(J56*(1+0.3),-1)</f>
        <v>120</v>
      </c>
      <c r="K119" s="437">
        <v>144</v>
      </c>
      <c r="L119" s="485">
        <v>140</v>
      </c>
      <c r="M119" s="488">
        <v>168</v>
      </c>
      <c r="N119" s="413">
        <f>ROUND(N56*(1+0.3),-1)</f>
        <v>160</v>
      </c>
      <c r="O119" s="437">
        <v>192</v>
      </c>
      <c r="P119" s="485">
        <f>ROUND(P56*(1+0.3),-1)</f>
        <v>40</v>
      </c>
      <c r="Q119" s="523" t="s">
        <v>47</v>
      </c>
      <c r="R119" s="485">
        <f>ROUND(R56*(1+0.3),-1)</f>
        <v>60</v>
      </c>
      <c r="S119" s="541" t="s">
        <v>47</v>
      </c>
      <c r="T119" s="485" t="s">
        <v>47</v>
      </c>
      <c r="U119" s="541" t="s">
        <v>47</v>
      </c>
      <c r="V119" s="264"/>
      <c r="W119" s="264"/>
    </row>
    <row r="120" spans="2:23" s="266" customFormat="1" ht="12.75" hidden="1" customHeight="1" outlineLevel="1">
      <c r="B120" s="966"/>
      <c r="C120" s="929"/>
      <c r="D120" s="372" t="s">
        <v>136</v>
      </c>
      <c r="E120" s="373"/>
      <c r="F120" s="413">
        <f>ROUND(F92*(1+0.3),-1)</f>
        <v>60</v>
      </c>
      <c r="G120" s="437">
        <v>72</v>
      </c>
      <c r="H120" s="413">
        <f>ROUND(H92*(1+0.3),-1)</f>
        <v>90</v>
      </c>
      <c r="I120" s="437">
        <v>108</v>
      </c>
      <c r="J120" s="413">
        <f>ROUND(J92*(1+0.3),-1)</f>
        <v>120</v>
      </c>
      <c r="K120" s="437">
        <v>144</v>
      </c>
      <c r="L120" s="485">
        <v>140</v>
      </c>
      <c r="M120" s="488">
        <v>168</v>
      </c>
      <c r="N120" s="413">
        <f>ROUND(N92*(1+0.3),-1)</f>
        <v>160</v>
      </c>
      <c r="O120" s="437">
        <v>192</v>
      </c>
      <c r="P120" s="485">
        <f>ROUND(P92*(1+0.3),-1)</f>
        <v>40</v>
      </c>
      <c r="Q120" s="523" t="s">
        <v>47</v>
      </c>
      <c r="R120" s="485">
        <f>ROUND(R92*(1+0.3),-1)</f>
        <v>60</v>
      </c>
      <c r="S120" s="541" t="s">
        <v>47</v>
      </c>
      <c r="T120" s="485" t="s">
        <v>47</v>
      </c>
      <c r="U120" s="541" t="s">
        <v>47</v>
      </c>
      <c r="V120" s="264"/>
      <c r="W120" s="264"/>
    </row>
    <row r="121" spans="2:23" s="266" customFormat="1" ht="12.75" hidden="1" customHeight="1" outlineLevel="1">
      <c r="B121" s="966"/>
      <c r="C121" s="929"/>
      <c r="D121" s="372" t="s">
        <v>28</v>
      </c>
      <c r="E121" s="373"/>
      <c r="F121" s="413">
        <f>ROUND(F56*(1+0.3),-1)</f>
        <v>60</v>
      </c>
      <c r="G121" s="437">
        <v>72</v>
      </c>
      <c r="H121" s="413">
        <f>ROUND(H56*(1+0.3),-1)</f>
        <v>90</v>
      </c>
      <c r="I121" s="437">
        <v>108</v>
      </c>
      <c r="J121" s="413">
        <f>ROUND(J56*(1+0.3),-1)</f>
        <v>120</v>
      </c>
      <c r="K121" s="437">
        <v>144</v>
      </c>
      <c r="L121" s="485">
        <v>140</v>
      </c>
      <c r="M121" s="488">
        <v>168</v>
      </c>
      <c r="N121" s="413">
        <f>ROUND(N56*(1+0.3),-1)</f>
        <v>160</v>
      </c>
      <c r="O121" s="437">
        <v>192</v>
      </c>
      <c r="P121" s="485">
        <f>ROUND(P56*(1+0.3),-1)</f>
        <v>40</v>
      </c>
      <c r="Q121" s="523" t="s">
        <v>47</v>
      </c>
      <c r="R121" s="485">
        <f>ROUND(R56*(1+0.3),-1)</f>
        <v>60</v>
      </c>
      <c r="S121" s="541" t="s">
        <v>47</v>
      </c>
      <c r="T121" s="485" t="s">
        <v>47</v>
      </c>
      <c r="U121" s="541" t="s">
        <v>47</v>
      </c>
      <c r="V121" s="264"/>
      <c r="W121" s="264"/>
    </row>
    <row r="122" spans="2:23" s="266" customFormat="1" ht="12.75" hidden="1" customHeight="1" outlineLevel="1">
      <c r="B122" s="966"/>
      <c r="C122" s="929"/>
      <c r="D122" s="372" t="s">
        <v>31</v>
      </c>
      <c r="E122" s="373"/>
      <c r="F122" s="413">
        <f>ROUND(F92*(1+0.3),-1)</f>
        <v>60</v>
      </c>
      <c r="G122" s="437">
        <v>72</v>
      </c>
      <c r="H122" s="413">
        <f>ROUND(H92*(1+0.3),-1)</f>
        <v>90</v>
      </c>
      <c r="I122" s="437">
        <v>108</v>
      </c>
      <c r="J122" s="413">
        <f>ROUND(J92*(1+0.3),-1)</f>
        <v>120</v>
      </c>
      <c r="K122" s="437">
        <v>144</v>
      </c>
      <c r="L122" s="485">
        <v>140</v>
      </c>
      <c r="M122" s="488">
        <v>168</v>
      </c>
      <c r="N122" s="413">
        <f>ROUND(N92*(1+0.3),-1)</f>
        <v>160</v>
      </c>
      <c r="O122" s="437">
        <v>192</v>
      </c>
      <c r="P122" s="485">
        <f>ROUND(P92*(1+0.3),-1)</f>
        <v>40</v>
      </c>
      <c r="Q122" s="523" t="s">
        <v>47</v>
      </c>
      <c r="R122" s="485">
        <f>ROUND(R92*(1+0.3),-1)</f>
        <v>60</v>
      </c>
      <c r="S122" s="541" t="s">
        <v>47</v>
      </c>
      <c r="T122" s="485" t="s">
        <v>47</v>
      </c>
      <c r="U122" s="541" t="s">
        <v>47</v>
      </c>
      <c r="V122" s="264"/>
      <c r="W122" s="264"/>
    </row>
    <row r="123" spans="2:23" s="266" customFormat="1" ht="12.75" hidden="1" customHeight="1" outlineLevel="1">
      <c r="B123" s="966"/>
      <c r="C123" s="929"/>
      <c r="D123" s="372" t="s">
        <v>29</v>
      </c>
      <c r="E123" s="373"/>
      <c r="F123" s="413">
        <f>ROUND(F92*(1+0.3),-1)</f>
        <v>60</v>
      </c>
      <c r="G123" s="437">
        <v>72</v>
      </c>
      <c r="H123" s="413">
        <f>ROUND(H92*(1+0.3),-1)</f>
        <v>90</v>
      </c>
      <c r="I123" s="437">
        <v>108</v>
      </c>
      <c r="J123" s="413">
        <f>ROUND(J92*(1+0.3),-1)</f>
        <v>120</v>
      </c>
      <c r="K123" s="437">
        <v>144</v>
      </c>
      <c r="L123" s="485">
        <v>140</v>
      </c>
      <c r="M123" s="488">
        <v>168</v>
      </c>
      <c r="N123" s="413">
        <f>ROUND(N92*(1+0.3),-1)</f>
        <v>160</v>
      </c>
      <c r="O123" s="437">
        <v>192</v>
      </c>
      <c r="P123" s="485">
        <f>ROUND(P92*(1+0.3),-1)</f>
        <v>40</v>
      </c>
      <c r="Q123" s="523" t="s">
        <v>47</v>
      </c>
      <c r="R123" s="485">
        <f>ROUND(R92*(1+0.3),-1)</f>
        <v>60</v>
      </c>
      <c r="S123" s="541" t="s">
        <v>47</v>
      </c>
      <c r="T123" s="485" t="s">
        <v>47</v>
      </c>
      <c r="U123" s="541" t="s">
        <v>47</v>
      </c>
      <c r="V123" s="264"/>
      <c r="W123" s="264"/>
    </row>
    <row r="124" spans="2:23" s="266" customFormat="1" ht="12.75" hidden="1" customHeight="1" outlineLevel="1">
      <c r="B124" s="966"/>
      <c r="C124" s="929"/>
      <c r="D124" s="372" t="s">
        <v>30</v>
      </c>
      <c r="E124" s="373"/>
      <c r="F124" s="413">
        <f>ROUND(F92*(1+0.3),-1)</f>
        <v>60</v>
      </c>
      <c r="G124" s="437">
        <v>72</v>
      </c>
      <c r="H124" s="413">
        <f>ROUND(H92*(1+0.3),-1)</f>
        <v>90</v>
      </c>
      <c r="I124" s="437">
        <v>108</v>
      </c>
      <c r="J124" s="413">
        <f>ROUND(J92*(1+0.3),-1)</f>
        <v>120</v>
      </c>
      <c r="K124" s="437">
        <v>144</v>
      </c>
      <c r="L124" s="485">
        <v>140</v>
      </c>
      <c r="M124" s="488">
        <v>168</v>
      </c>
      <c r="N124" s="413">
        <f>ROUND(N92*(1+0.3),-1)</f>
        <v>160</v>
      </c>
      <c r="O124" s="437">
        <v>192</v>
      </c>
      <c r="P124" s="485">
        <f>ROUND(P92*(1+0.3),-1)</f>
        <v>40</v>
      </c>
      <c r="Q124" s="523" t="s">
        <v>47</v>
      </c>
      <c r="R124" s="485">
        <f>ROUND(R92*(1+0.3),-1)</f>
        <v>60</v>
      </c>
      <c r="S124" s="541" t="s">
        <v>47</v>
      </c>
      <c r="T124" s="485" t="s">
        <v>47</v>
      </c>
      <c r="U124" s="541" t="s">
        <v>47</v>
      </c>
      <c r="V124" s="264"/>
      <c r="W124" s="264"/>
    </row>
    <row r="125" spans="2:23" s="266" customFormat="1" ht="12.75" hidden="1" customHeight="1" outlineLevel="1">
      <c r="B125" s="966"/>
      <c r="C125" s="929"/>
      <c r="D125" s="372" t="s">
        <v>138</v>
      </c>
      <c r="E125" s="373"/>
      <c r="F125" s="413">
        <f>ROUND(F92*(1+0.3),-1)</f>
        <v>60</v>
      </c>
      <c r="G125" s="437">
        <v>72</v>
      </c>
      <c r="H125" s="413">
        <f>ROUND(H92*(1+0.3),-1)</f>
        <v>90</v>
      </c>
      <c r="I125" s="437">
        <v>108</v>
      </c>
      <c r="J125" s="413">
        <f>ROUND(J92*(1+0.3),-1)</f>
        <v>120</v>
      </c>
      <c r="K125" s="437">
        <v>144</v>
      </c>
      <c r="L125" s="485">
        <v>140</v>
      </c>
      <c r="M125" s="488">
        <v>168</v>
      </c>
      <c r="N125" s="413">
        <f>ROUND(N92*(1+0.3),-1)</f>
        <v>160</v>
      </c>
      <c r="O125" s="437">
        <v>192</v>
      </c>
      <c r="P125" s="485">
        <f>ROUND(P92*(1+0.3),-1)</f>
        <v>40</v>
      </c>
      <c r="Q125" s="523" t="s">
        <v>47</v>
      </c>
      <c r="R125" s="485">
        <f>ROUND(R92*(1+0.3),-1)</f>
        <v>60</v>
      </c>
      <c r="S125" s="541" t="s">
        <v>47</v>
      </c>
      <c r="T125" s="485" t="s">
        <v>47</v>
      </c>
      <c r="U125" s="541" t="s">
        <v>47</v>
      </c>
      <c r="V125" s="264"/>
      <c r="W125" s="264"/>
    </row>
    <row r="126" spans="2:23" s="266" customFormat="1" ht="12.75" hidden="1" customHeight="1" outlineLevel="1">
      <c r="B126" s="966"/>
      <c r="C126" s="929"/>
      <c r="D126" s="372" t="s">
        <v>124</v>
      </c>
      <c r="E126" s="373"/>
      <c r="F126" s="413">
        <f>ROUND(F102*(1+0.3),-1)</f>
        <v>60</v>
      </c>
      <c r="G126" s="437">
        <v>72</v>
      </c>
      <c r="H126" s="413">
        <f>ROUND(H102*(1+0.3),-1)</f>
        <v>90</v>
      </c>
      <c r="I126" s="437">
        <v>108</v>
      </c>
      <c r="J126" s="413">
        <f>ROUND(J102*(1+0.3),-1)</f>
        <v>120</v>
      </c>
      <c r="K126" s="437">
        <v>144</v>
      </c>
      <c r="L126" s="485" t="s">
        <v>47</v>
      </c>
      <c r="M126" s="488" t="s">
        <v>47</v>
      </c>
      <c r="N126" s="413" t="s">
        <v>47</v>
      </c>
      <c r="O126" s="488" t="s">
        <v>47</v>
      </c>
      <c r="P126" s="485">
        <f>ROUND(P102*(1+0.3),-1)</f>
        <v>40</v>
      </c>
      <c r="Q126" s="523" t="s">
        <v>47</v>
      </c>
      <c r="R126" s="485">
        <f>ROUND(R102*(1+0.3),-1)</f>
        <v>60</v>
      </c>
      <c r="S126" s="541" t="s">
        <v>47</v>
      </c>
      <c r="T126" s="485" t="s">
        <v>47</v>
      </c>
      <c r="U126" s="541" t="s">
        <v>47</v>
      </c>
      <c r="V126" s="264"/>
      <c r="W126" s="264"/>
    </row>
    <row r="127" spans="2:23" s="266" customFormat="1" ht="12.75" hidden="1" customHeight="1" outlineLevel="1">
      <c r="B127" s="966"/>
      <c r="C127" s="929"/>
      <c r="D127" s="372" t="s">
        <v>37</v>
      </c>
      <c r="E127" s="373"/>
      <c r="F127" s="413">
        <f>ROUND(F69*(1+0.3),-1)</f>
        <v>40</v>
      </c>
      <c r="G127" s="437">
        <v>48</v>
      </c>
      <c r="H127" s="413">
        <f>ROUND(H69*(1+0.3),-1)</f>
        <v>60</v>
      </c>
      <c r="I127" s="437">
        <v>72</v>
      </c>
      <c r="J127" s="413">
        <f>ROUND(J69*(1+0.3),-1)</f>
        <v>80</v>
      </c>
      <c r="K127" s="437">
        <v>96</v>
      </c>
      <c r="L127" s="485">
        <v>90</v>
      </c>
      <c r="M127" s="488">
        <v>108</v>
      </c>
      <c r="N127" s="413">
        <f>ROUND(N69*(1+0.3),-1)</f>
        <v>100</v>
      </c>
      <c r="O127" s="437">
        <v>120</v>
      </c>
      <c r="P127" s="485">
        <f>ROUND(P69*(1+0.3),-1)</f>
        <v>30</v>
      </c>
      <c r="Q127" s="523" t="s">
        <v>47</v>
      </c>
      <c r="R127" s="485">
        <f>ROUND(R69*(1+0.3),-1)</f>
        <v>40</v>
      </c>
      <c r="S127" s="541" t="s">
        <v>47</v>
      </c>
      <c r="T127" s="485" t="s">
        <v>47</v>
      </c>
      <c r="U127" s="541" t="s">
        <v>47</v>
      </c>
      <c r="V127" s="264"/>
      <c r="W127" s="264"/>
    </row>
    <row r="128" spans="2:23" s="266" customFormat="1" ht="12.75" hidden="1" customHeight="1" outlineLevel="1">
      <c r="B128" s="966"/>
      <c r="C128" s="929"/>
      <c r="D128" s="372" t="s">
        <v>305</v>
      </c>
      <c r="E128" s="373"/>
      <c r="F128" s="485">
        <f t="shared" ref="F128:P128" si="0">F55</f>
        <v>60</v>
      </c>
      <c r="G128" s="488">
        <f t="shared" si="0"/>
        <v>72</v>
      </c>
      <c r="H128" s="485">
        <f t="shared" si="0"/>
        <v>90</v>
      </c>
      <c r="I128" s="488">
        <f t="shared" si="0"/>
        <v>108</v>
      </c>
      <c r="J128" s="485">
        <f t="shared" si="0"/>
        <v>120</v>
      </c>
      <c r="K128" s="488">
        <f t="shared" si="0"/>
        <v>144</v>
      </c>
      <c r="L128" s="485">
        <f t="shared" si="0"/>
        <v>140</v>
      </c>
      <c r="M128" s="488">
        <f t="shared" si="0"/>
        <v>168</v>
      </c>
      <c r="N128" s="485">
        <f t="shared" si="0"/>
        <v>160</v>
      </c>
      <c r="O128" s="488">
        <f t="shared" si="0"/>
        <v>192</v>
      </c>
      <c r="P128" s="485">
        <f t="shared" si="0"/>
        <v>40</v>
      </c>
      <c r="Q128" s="523" t="s">
        <v>47</v>
      </c>
      <c r="R128" s="485">
        <f>R55</f>
        <v>60</v>
      </c>
      <c r="S128" s="541" t="s">
        <v>47</v>
      </c>
      <c r="T128" s="485" t="s">
        <v>47</v>
      </c>
      <c r="U128" s="541" t="s">
        <v>47</v>
      </c>
      <c r="V128" s="264"/>
      <c r="W128" s="264"/>
    </row>
    <row r="129" spans="1:28" s="266" customFormat="1" ht="12.75" hidden="1" customHeight="1" outlineLevel="1">
      <c r="B129" s="966"/>
      <c r="C129" s="929"/>
      <c r="D129" s="372" t="s">
        <v>139</v>
      </c>
      <c r="E129" s="373"/>
      <c r="F129" s="485">
        <f>ROUND(F92*(1+0.3),-1)</f>
        <v>60</v>
      </c>
      <c r="G129" s="488">
        <v>72</v>
      </c>
      <c r="H129" s="485">
        <f>ROUND(H92*(1+0.3),-1)</f>
        <v>90</v>
      </c>
      <c r="I129" s="488">
        <v>108</v>
      </c>
      <c r="J129" s="485">
        <f>ROUND(J92*(1+0.3),-1)</f>
        <v>120</v>
      </c>
      <c r="K129" s="488">
        <v>144</v>
      </c>
      <c r="L129" s="485">
        <v>140</v>
      </c>
      <c r="M129" s="488">
        <v>168</v>
      </c>
      <c r="N129" s="485">
        <f>ROUND(N92*(1+0.3),-1)</f>
        <v>160</v>
      </c>
      <c r="O129" s="488">
        <v>192</v>
      </c>
      <c r="P129" s="485">
        <f>ROUND(P92*(1+0.3),-1)</f>
        <v>40</v>
      </c>
      <c r="Q129" s="523" t="s">
        <v>47</v>
      </c>
      <c r="R129" s="485">
        <f>ROUND(R92*(1+0.3),-1)</f>
        <v>60</v>
      </c>
      <c r="S129" s="541" t="s">
        <v>47</v>
      </c>
      <c r="T129" s="485" t="s">
        <v>47</v>
      </c>
      <c r="U129" s="541" t="s">
        <v>47</v>
      </c>
      <c r="V129" s="264"/>
      <c r="W129" s="264"/>
    </row>
    <row r="130" spans="1:28" s="266" customFormat="1" ht="12.75" hidden="1" customHeight="1" outlineLevel="1">
      <c r="B130" s="966"/>
      <c r="C130" s="929"/>
      <c r="D130" s="370" t="s">
        <v>324</v>
      </c>
      <c r="E130" s="371"/>
      <c r="F130" s="669">
        <f>ROUND(F92*(1+0.3),-1)</f>
        <v>60</v>
      </c>
      <c r="G130" s="670">
        <v>72</v>
      </c>
      <c r="H130" s="669">
        <f>ROUND(H92*(1+0.3),-1)</f>
        <v>90</v>
      </c>
      <c r="I130" s="670">
        <v>108</v>
      </c>
      <c r="J130" s="669">
        <f>ROUND(J92*(1+0.3),-1)</f>
        <v>120</v>
      </c>
      <c r="K130" s="670">
        <v>144</v>
      </c>
      <c r="L130" s="669">
        <v>140</v>
      </c>
      <c r="M130" s="670">
        <v>168</v>
      </c>
      <c r="N130" s="669">
        <f>ROUND(N92*(1+0.3),-1)</f>
        <v>160</v>
      </c>
      <c r="O130" s="670">
        <v>192</v>
      </c>
      <c r="P130" s="669">
        <f>ROUND(P92*(1+0.3),-1)</f>
        <v>40</v>
      </c>
      <c r="Q130" s="519" t="s">
        <v>47</v>
      </c>
      <c r="R130" s="669">
        <f>ROUND(R92*(1+0.3),-1)</f>
        <v>60</v>
      </c>
      <c r="S130" s="543" t="s">
        <v>47</v>
      </c>
      <c r="T130" s="669" t="s">
        <v>47</v>
      </c>
      <c r="U130" s="543" t="s">
        <v>47</v>
      </c>
      <c r="V130" s="264"/>
      <c r="W130" s="264"/>
    </row>
    <row r="131" spans="1:28" s="266" customFormat="1" ht="52.5" customHeight="1" collapsed="1">
      <c r="B131" s="966"/>
      <c r="C131" s="1012"/>
      <c r="D131" s="742" t="str">
        <f>D116&amp;", "&amp;D117&amp;", "&amp;D118&amp;", "&amp;D119&amp;", "&amp;D120&amp;", "&amp;D121&amp;", "&amp;D122&amp;", "&amp;D123&amp;", "&amp;D124&amp;", "&amp;D125&amp;", "&amp;D126&amp;", "&amp;D127&amp;", "&amp;D128&amp;", "&amp;D129&amp;", "&amp;D130</f>
        <v>WP SportoweFakty, WP Facet, WP Dom, WP Moto, WP Tech, WP Autokult, WP Fotoblogia, WP Gadżetomania, WP Komórkomania, WP Gry, WP Pilot, WP Film, Autocentrum, dobreprogramy.pl⁵, polygamia.pl</v>
      </c>
      <c r="E131" s="743"/>
      <c r="F131" s="418">
        <v>45</v>
      </c>
      <c r="G131" s="432">
        <v>54</v>
      </c>
      <c r="H131" s="418">
        <v>68</v>
      </c>
      <c r="I131" s="432">
        <v>81</v>
      </c>
      <c r="J131" s="418">
        <v>90</v>
      </c>
      <c r="K131" s="432">
        <v>108</v>
      </c>
      <c r="L131" s="412" t="s">
        <v>47</v>
      </c>
      <c r="M131" s="432" t="s">
        <v>47</v>
      </c>
      <c r="N131" s="412">
        <v>120</v>
      </c>
      <c r="O131" s="432">
        <v>144</v>
      </c>
      <c r="P131" s="504">
        <v>34</v>
      </c>
      <c r="Q131" s="525" t="s">
        <v>47</v>
      </c>
      <c r="R131" s="504">
        <v>45</v>
      </c>
      <c r="S131" s="538" t="s">
        <v>47</v>
      </c>
      <c r="T131" s="504" t="s">
        <v>47</v>
      </c>
      <c r="U131" s="538" t="s">
        <v>47</v>
      </c>
      <c r="V131" s="264"/>
      <c r="W131" s="264"/>
    </row>
    <row r="132" spans="1:28" ht="36" customHeight="1">
      <c r="A132" s="266"/>
      <c r="B132" s="966"/>
      <c r="C132" s="400" t="str">
        <f>IF('Język - Language'!$B$30="Polski","PAKIET SPECJALNY","DEDICATED PACKAGE")</f>
        <v>PAKIET SPECJALNY</v>
      </c>
      <c r="D132" s="742" t="str">
        <f>IF('Język - Language'!$B$30="Polski","Min. 4 wybrane serwisy - BEZ SERWISÓW KATEGORII BIZNES oraz ZDROWIE I PRENTING","Min. 4 selected sites - EXCLUDING BUSINESS, HEALTH AND PARENTING SITES")</f>
        <v>Min. 4 wybrane serwisy - BEZ SERWISÓW KATEGORII BIZNES oraz ZDROWIE I PRENTING</v>
      </c>
      <c r="E132" s="743"/>
      <c r="F132" s="419">
        <v>67</v>
      </c>
      <c r="G132" s="430">
        <v>80</v>
      </c>
      <c r="H132" s="419">
        <v>86</v>
      </c>
      <c r="I132" s="430">
        <v>103</v>
      </c>
      <c r="J132" s="419">
        <v>114</v>
      </c>
      <c r="K132" s="430">
        <v>137</v>
      </c>
      <c r="L132" s="419">
        <v>135</v>
      </c>
      <c r="M132" s="430">
        <v>162</v>
      </c>
      <c r="N132" s="419">
        <v>150</v>
      </c>
      <c r="O132" s="430">
        <v>180</v>
      </c>
      <c r="P132" s="507">
        <v>43</v>
      </c>
      <c r="Q132" s="518" t="s">
        <v>47</v>
      </c>
      <c r="R132" s="504">
        <v>67</v>
      </c>
      <c r="S132" s="533" t="s">
        <v>47</v>
      </c>
      <c r="T132" s="504" t="s">
        <v>47</v>
      </c>
      <c r="U132" s="533" t="s">
        <v>47</v>
      </c>
      <c r="V132" s="25"/>
      <c r="W132" s="25"/>
      <c r="X132" s="264"/>
      <c r="Y132" s="264"/>
      <c r="Z132" s="264"/>
      <c r="AA132" s="264"/>
      <c r="AB132" s="264"/>
    </row>
    <row r="133" spans="1:28">
      <c r="A133" s="266"/>
      <c r="B133" s="401"/>
      <c r="C133" s="270"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133" s="95"/>
      <c r="E133" s="97"/>
      <c r="F133" s="95"/>
      <c r="G133" s="95"/>
      <c r="H133" s="95"/>
      <c r="I133" s="96"/>
      <c r="J133" s="266"/>
      <c r="K133" s="266"/>
      <c r="L133" s="266"/>
      <c r="M133" s="266"/>
      <c r="N133" s="266"/>
      <c r="O133" s="266"/>
      <c r="P133" s="266"/>
      <c r="R133" s="266"/>
      <c r="S133" s="266"/>
      <c r="T133" s="266"/>
      <c r="U133" s="266"/>
      <c r="V133" s="266"/>
      <c r="W133" s="266"/>
      <c r="X133" s="266"/>
      <c r="Y133" s="266"/>
      <c r="Z133" s="266"/>
      <c r="AA133" s="266"/>
      <c r="AB133" s="266"/>
    </row>
    <row r="134" spans="1:28">
      <c r="A134" s="266"/>
      <c r="B134" s="266"/>
      <c r="C134" s="271" t="str">
        <f>IF('Język - Language'!$B$30="Polski","² Na SG O2 możliwość emisji wybranych formatów reklamowych (bez Halfpage).","² in case of o2 only selected advertising formats are applicable (without Halfpage)")</f>
        <v>² Na SG O2 możliwość emisji wybranych formatów reklamowych (bez Halfpage).</v>
      </c>
      <c r="D134" s="62"/>
      <c r="E134" s="45"/>
      <c r="F134" s="266"/>
      <c r="G134" s="266"/>
      <c r="H134" s="283"/>
      <c r="I134" s="266"/>
      <c r="J134" s="266"/>
      <c r="K134" s="266"/>
      <c r="L134" s="266"/>
      <c r="M134" s="266"/>
      <c r="N134" s="266"/>
      <c r="O134" s="266"/>
      <c r="P134" s="266"/>
      <c r="R134" s="266"/>
      <c r="S134" s="266"/>
      <c r="T134" s="266"/>
      <c r="U134" s="266"/>
      <c r="V134" s="266"/>
      <c r="W134" s="266"/>
      <c r="X134" s="266"/>
      <c r="Y134" s="266"/>
      <c r="Z134" s="266"/>
      <c r="AA134" s="266"/>
      <c r="AB134" s="266"/>
    </row>
    <row r="135" spans="1:28" s="227" customFormat="1">
      <c r="A135" s="266"/>
      <c r="B135" s="266"/>
      <c r="C135" s="271" t="str">
        <f>IF('Język - Language'!$B$30="Polski","³ Format dostępny na wybranych serwisach.","³ Available only in selected sites.")</f>
        <v>³ Format dostępny na wybranych serwisach.</v>
      </c>
      <c r="D135" s="62"/>
      <c r="E135" s="45"/>
      <c r="F135" s="266"/>
      <c r="G135" s="266"/>
      <c r="H135" s="266"/>
      <c r="I135" s="266"/>
      <c r="J135" s="266"/>
      <c r="K135" s="266"/>
      <c r="L135" s="266"/>
      <c r="M135" s="266"/>
      <c r="N135" s="266"/>
      <c r="O135" s="266"/>
      <c r="P135" s="266"/>
      <c r="Q135" s="266"/>
      <c r="R135" s="266"/>
      <c r="S135" s="266"/>
      <c r="T135" s="266"/>
      <c r="U135" s="266"/>
      <c r="V135" s="266"/>
      <c r="W135" s="266"/>
      <c r="X135" s="266"/>
      <c r="Y135" s="266"/>
      <c r="Z135" s="266"/>
      <c r="AA135" s="266"/>
      <c r="AB135" s="266"/>
    </row>
    <row r="136" spans="1:28" s="227" customFormat="1">
      <c r="A136" s="266"/>
      <c r="B136" s="266"/>
      <c r="C136" s="262" t="str">
        <f>IF('Język - Language'!$B$30="Polski","⁴ +100% do ceny wybranej kategorii w przypadku serwisu Pudelek","⁴ +100% extra charge to the price of the selected category in case of site Pudelek.pl.")</f>
        <v>⁴ +100% do ceny wybranej kategorii w przypadku serwisu Pudelek</v>
      </c>
      <c r="D136" s="62"/>
      <c r="E136" s="45"/>
      <c r="F136" s="266"/>
      <c r="G136" s="266"/>
      <c r="H136" s="266"/>
      <c r="I136" s="266"/>
      <c r="J136" s="266"/>
      <c r="K136" s="266"/>
      <c r="L136" s="266"/>
      <c r="M136" s="266"/>
      <c r="N136" s="266"/>
      <c r="O136" s="266"/>
      <c r="P136" s="266"/>
      <c r="Q136" s="266"/>
      <c r="R136" s="266"/>
      <c r="S136" s="266"/>
      <c r="T136" s="266"/>
      <c r="U136" s="266"/>
      <c r="V136" s="266"/>
      <c r="W136" s="266"/>
      <c r="X136" s="266"/>
      <c r="Y136" s="266"/>
      <c r="Z136" s="266"/>
      <c r="AA136" s="266"/>
      <c r="AB136" s="266"/>
    </row>
    <row r="137" spans="1:28" s="266" customFormat="1">
      <c r="C137" s="262" t="str">
        <f>IF('Język - Language'!$B$30="Polski","⁵ Screening na dobreprogramy.pl sprzedawany wyłącznie poza pakietem.","⁵ Screening on site dobreprogramy.pl is only available outside the package.")</f>
        <v>⁵ Screening na dobreprogramy.pl sprzedawany wyłącznie poza pakietem.</v>
      </c>
      <c r="D137" s="62"/>
      <c r="E137" s="45"/>
    </row>
    <row r="138" spans="1:28" s="266" customFormat="1">
      <c r="C138" s="262"/>
      <c r="D138" s="62"/>
      <c r="E138" s="45"/>
    </row>
    <row r="139" spans="1:28" s="266" customFormat="1">
      <c r="C139" s="262"/>
      <c r="D139" s="62"/>
      <c r="E139" s="45"/>
    </row>
    <row r="140" spans="1:28" s="266" customFormat="1">
      <c r="C140" s="197" t="str">
        <f>IF('Język - Language'!$B$30="Polski","STANDARDOWE FORMATY REKLAMOWE","STANDARD AD FORMATS")</f>
        <v>STANDARDOWE FORMATY REKLAMOWE</v>
      </c>
      <c r="D140" s="62"/>
      <c r="E140" s="45"/>
    </row>
    <row r="141" spans="1:28" s="266" customFormat="1" ht="25.5" customHeight="1">
      <c r="C141" s="991" t="str">
        <f>IF('Język - Language'!$B$30="Polski","MIEJSCE EMISJI","PLACE OF EMISSION")</f>
        <v>MIEJSCE EMISJI</v>
      </c>
      <c r="D141" s="347" t="str">
        <f>IF('Język - Language'!$B$30="Polski","MODEL EMISJI","MODEL OF EMISSION")</f>
        <v>MODEL EMISJI</v>
      </c>
      <c r="E141" s="898" t="s">
        <v>84</v>
      </c>
      <c r="F141" s="899"/>
    </row>
    <row r="142" spans="1:28" s="266" customFormat="1" ht="25.5" customHeight="1">
      <c r="C142" s="991"/>
      <c r="D142" s="1026" t="str">
        <f>IF('Język - Language'!$B$30="Polski","rozliczenie za widzialne odsłony wg standardu IAB¹","settlement for visible ad views according to the IAB standard¹")</f>
        <v>rozliczenie za widzialne odsłony wg standardu IAB¹</v>
      </c>
      <c r="E142" s="1026"/>
      <c r="F142" s="1027"/>
    </row>
    <row r="143" spans="1:28" s="266" customFormat="1" ht="12.75" customHeight="1">
      <c r="C143" s="991"/>
      <c r="D143" s="343"/>
      <c r="E143" s="1026" t="s">
        <v>86</v>
      </c>
      <c r="F143" s="1027"/>
    </row>
    <row r="144" spans="1:28" s="266" customFormat="1" ht="25.5" customHeight="1">
      <c r="B144" s="180"/>
      <c r="C144" s="344" t="s">
        <v>28</v>
      </c>
      <c r="D144" s="1024" t="s">
        <v>85</v>
      </c>
      <c r="E144" s="1022">
        <v>155</v>
      </c>
      <c r="F144" s="1023"/>
    </row>
    <row r="145" spans="1:28" s="266" customFormat="1" ht="25.5" customHeight="1">
      <c r="B145" s="180"/>
      <c r="C145" s="345" t="s">
        <v>42</v>
      </c>
      <c r="D145" s="1024"/>
      <c r="E145" s="1020">
        <v>155</v>
      </c>
      <c r="F145" s="1021"/>
    </row>
    <row r="146" spans="1:28" s="266" customFormat="1" ht="25.5" customHeight="1">
      <c r="B146" s="180"/>
      <c r="C146" s="345" t="s">
        <v>37</v>
      </c>
      <c r="D146" s="1024"/>
      <c r="E146" s="1020">
        <v>120</v>
      </c>
      <c r="F146" s="1021"/>
    </row>
    <row r="147" spans="1:28" s="266" customFormat="1" ht="25.5" customHeight="1">
      <c r="B147" s="180"/>
      <c r="C147" s="345" t="s">
        <v>53</v>
      </c>
      <c r="D147" s="1024"/>
      <c r="E147" s="1020">
        <v>120</v>
      </c>
      <c r="F147" s="1021"/>
    </row>
    <row r="148" spans="1:28" s="266" customFormat="1" ht="25.5" customHeight="1">
      <c r="B148" s="180"/>
      <c r="C148" s="345" t="s">
        <v>39</v>
      </c>
      <c r="D148" s="1024"/>
      <c r="E148" s="1020">
        <v>155</v>
      </c>
      <c r="F148" s="1021"/>
    </row>
    <row r="149" spans="1:28" s="266" customFormat="1" ht="25.5" customHeight="1">
      <c r="B149" s="180"/>
      <c r="C149" s="345" t="s">
        <v>35</v>
      </c>
      <c r="D149" s="1024"/>
      <c r="E149" s="1020">
        <v>155</v>
      </c>
      <c r="F149" s="1021"/>
    </row>
    <row r="150" spans="1:28" s="266" customFormat="1" ht="25.5" customHeight="1">
      <c r="B150" s="180"/>
      <c r="C150" s="345" t="s">
        <v>82</v>
      </c>
      <c r="D150" s="1024"/>
      <c r="E150" s="1020">
        <v>270</v>
      </c>
      <c r="F150" s="1021"/>
    </row>
    <row r="151" spans="1:28" s="266" customFormat="1" ht="25.5" customHeight="1">
      <c r="B151" s="180"/>
      <c r="C151" s="345" t="s">
        <v>83</v>
      </c>
      <c r="D151" s="1024"/>
      <c r="E151" s="1020">
        <v>195</v>
      </c>
      <c r="F151" s="1021"/>
    </row>
    <row r="152" spans="1:28" s="266" customFormat="1" ht="25.5" customHeight="1">
      <c r="B152" s="180"/>
      <c r="C152" s="345" t="s">
        <v>44</v>
      </c>
      <c r="D152" s="1024"/>
      <c r="E152" s="1020">
        <v>120</v>
      </c>
      <c r="F152" s="1021"/>
    </row>
    <row r="153" spans="1:28" s="266" customFormat="1" ht="25.5" customHeight="1">
      <c r="B153" s="180"/>
      <c r="C153" s="345" t="s">
        <v>19</v>
      </c>
      <c r="D153" s="1024"/>
      <c r="E153" s="1020">
        <v>195</v>
      </c>
      <c r="F153" s="1021"/>
    </row>
    <row r="154" spans="1:28" s="266" customFormat="1" ht="25.5" customHeight="1">
      <c r="B154" s="180"/>
      <c r="C154" s="345" t="s">
        <v>38</v>
      </c>
      <c r="D154" s="1024"/>
      <c r="E154" s="1020">
        <v>155</v>
      </c>
      <c r="F154" s="1021"/>
    </row>
    <row r="155" spans="1:28" s="266" customFormat="1" ht="25.5" customHeight="1">
      <c r="B155" s="180"/>
      <c r="C155" s="346" t="s">
        <v>34</v>
      </c>
      <c r="D155" s="1025"/>
      <c r="E155" s="1018">
        <v>195</v>
      </c>
      <c r="F155" s="1019"/>
    </row>
    <row r="156" spans="1:28" s="91" customFormat="1" ht="12.75" customHeight="1">
      <c r="A156" s="266"/>
      <c r="B156" s="264"/>
      <c r="C156" s="270" t="str">
        <f>IF('Język - Language'!$B$30="Polski","¹ Ceny dotyczą rozliczenia vCPM po statystykach wewnętrznych WPM. W przypadku rozliczenia po statystykach zewnętrznych dopłata +20%. ","¹ The above prices concern the vCPM settlement according to the internal statistics of WPM. In case of settlement based on external statistics, the +20 % extra charge applies.")</f>
        <v xml:space="preserve">¹ Ceny dotyczą rozliczenia vCPM po statystykach wewnętrznych WPM. W przypadku rozliczenia po statystykach zewnętrznych dopłata +20%. </v>
      </c>
      <c r="D156" s="126"/>
      <c r="E156" s="22"/>
      <c r="F156" s="22"/>
      <c r="G156" s="22"/>
      <c r="H156" s="22"/>
      <c r="I156" s="22"/>
      <c r="J156" s="23"/>
      <c r="K156" s="23"/>
      <c r="L156" s="23"/>
      <c r="M156" s="23"/>
      <c r="N156" s="266"/>
      <c r="O156" s="266"/>
      <c r="P156" s="266"/>
      <c r="Q156" s="266"/>
      <c r="R156" s="266"/>
      <c r="S156" s="266"/>
      <c r="T156" s="266"/>
      <c r="U156" s="266"/>
      <c r="V156" s="266"/>
      <c r="W156" s="266"/>
      <c r="X156" s="266"/>
      <c r="Y156" s="266"/>
      <c r="Z156" s="266"/>
      <c r="AA156" s="266"/>
      <c r="AB156" s="266"/>
    </row>
    <row r="157" spans="1:28" s="266" customFormat="1" ht="12.75" customHeight="1">
      <c r="B157" s="264"/>
      <c r="C157" s="270"/>
      <c r="D157" s="126"/>
      <c r="E157" s="22"/>
      <c r="F157" s="22"/>
      <c r="G157" s="22"/>
      <c r="H157" s="22"/>
      <c r="I157" s="22"/>
      <c r="J157" s="23"/>
      <c r="K157" s="23"/>
      <c r="L157" s="23"/>
      <c r="M157" s="23"/>
    </row>
    <row r="158" spans="1:28">
      <c r="A158" s="266"/>
      <c r="B158" s="266"/>
      <c r="C158" s="283"/>
      <c r="D158" s="283"/>
      <c r="E158" s="326"/>
      <c r="F158" s="326"/>
      <c r="G158" s="326"/>
      <c r="H158" s="326"/>
      <c r="I158" s="326"/>
      <c r="J158" s="283"/>
      <c r="K158" s="266"/>
      <c r="L158" s="266"/>
      <c r="M158" s="595"/>
    </row>
    <row r="159" spans="1:28" s="120" customFormat="1">
      <c r="A159" s="266"/>
      <c r="B159" s="266"/>
      <c r="C159" s="199"/>
      <c r="D159" s="199"/>
      <c r="E159" s="326"/>
      <c r="F159" s="326"/>
      <c r="G159" s="326"/>
      <c r="H159" s="326"/>
      <c r="I159" s="326"/>
      <c r="J159" s="283"/>
      <c r="K159" s="266"/>
      <c r="L159" s="266"/>
      <c r="M159" s="316"/>
      <c r="Q159" s="266"/>
    </row>
    <row r="160" spans="1:28" s="120" customFormat="1" ht="12.75" customHeight="1">
      <c r="A160" s="266"/>
      <c r="B160" s="264"/>
      <c r="C160" s="207"/>
      <c r="D160" s="318"/>
      <c r="E160" s="318"/>
      <c r="F160" s="206"/>
      <c r="G160" s="206"/>
      <c r="H160" s="205"/>
      <c r="I160" s="205"/>
      <c r="J160" s="205"/>
      <c r="K160" s="266"/>
      <c r="L160" s="316"/>
      <c r="M160" s="266"/>
      <c r="Q160" s="266"/>
    </row>
    <row r="161" spans="1:17" s="120" customFormat="1">
      <c r="A161" s="266"/>
      <c r="B161" s="266"/>
      <c r="C161" s="199"/>
      <c r="D161" s="199"/>
      <c r="E161" s="326"/>
      <c r="F161" s="326"/>
      <c r="G161" s="326"/>
      <c r="H161" s="326"/>
      <c r="I161" s="326"/>
      <c r="J161" s="283"/>
      <c r="K161" s="266"/>
      <c r="L161" s="266"/>
      <c r="M161" s="316"/>
      <c r="Q161" s="266"/>
    </row>
  </sheetData>
  <mergeCells count="102">
    <mergeCell ref="T33:U34"/>
    <mergeCell ref="O1:U3"/>
    <mergeCell ref="P37:U37"/>
    <mergeCell ref="T38:U38"/>
    <mergeCell ref="N38:O38"/>
    <mergeCell ref="P33:Q34"/>
    <mergeCell ref="E154:F154"/>
    <mergeCell ref="E151:F151"/>
    <mergeCell ref="H38:I38"/>
    <mergeCell ref="D115:E115"/>
    <mergeCell ref="F22:G22"/>
    <mergeCell ref="H22:I22"/>
    <mergeCell ref="F25:G25"/>
    <mergeCell ref="F26:G26"/>
    <mergeCell ref="H25:I25"/>
    <mergeCell ref="H26:I26"/>
    <mergeCell ref="F38:G38"/>
    <mergeCell ref="D92:E92"/>
    <mergeCell ref="D102:E102"/>
    <mergeCell ref="D69:E69"/>
    <mergeCell ref="R33:S34"/>
    <mergeCell ref="P38:Q38"/>
    <mergeCell ref="R38:S38"/>
    <mergeCell ref="F24:G24"/>
    <mergeCell ref="E155:F155"/>
    <mergeCell ref="E148:F148"/>
    <mergeCell ref="E149:F149"/>
    <mergeCell ref="E150:F150"/>
    <mergeCell ref="D131:E131"/>
    <mergeCell ref="E145:F145"/>
    <mergeCell ref="E144:F144"/>
    <mergeCell ref="E152:F152"/>
    <mergeCell ref="D132:E132"/>
    <mergeCell ref="D144:D155"/>
    <mergeCell ref="E153:F153"/>
    <mergeCell ref="D142:F142"/>
    <mergeCell ref="E141:F141"/>
    <mergeCell ref="E143:F143"/>
    <mergeCell ref="E146:F146"/>
    <mergeCell ref="E147:F147"/>
    <mergeCell ref="J33:K34"/>
    <mergeCell ref="D33:E39"/>
    <mergeCell ref="F37:O37"/>
    <mergeCell ref="N33:O34"/>
    <mergeCell ref="N35:O36"/>
    <mergeCell ref="J35:K36"/>
    <mergeCell ref="L35:M36"/>
    <mergeCell ref="C103:C115"/>
    <mergeCell ref="C116:C131"/>
    <mergeCell ref="C46:C52"/>
    <mergeCell ref="D98:E98"/>
    <mergeCell ref="D84:E84"/>
    <mergeCell ref="D56:E56"/>
    <mergeCell ref="C53:C56"/>
    <mergeCell ref="C57:C69"/>
    <mergeCell ref="L38:M38"/>
    <mergeCell ref="L33:M34"/>
    <mergeCell ref="C85:C92"/>
    <mergeCell ref="C99:C102"/>
    <mergeCell ref="C93:C98"/>
    <mergeCell ref="J38:K38"/>
    <mergeCell ref="C141:C143"/>
    <mergeCell ref="C70:C84"/>
    <mergeCell ref="C33:C39"/>
    <mergeCell ref="C13:C21"/>
    <mergeCell ref="F14:G14"/>
    <mergeCell ref="F13:G13"/>
    <mergeCell ref="H13:I20"/>
    <mergeCell ref="F17:G17"/>
    <mergeCell ref="F18:G18"/>
    <mergeCell ref="F19:G19"/>
    <mergeCell ref="F20:G20"/>
    <mergeCell ref="F16:G16"/>
    <mergeCell ref="H35:I35"/>
    <mergeCell ref="H24:I24"/>
    <mergeCell ref="F35:G36"/>
    <mergeCell ref="F33:G34"/>
    <mergeCell ref="H33:I33"/>
    <mergeCell ref="D41:E41"/>
    <mergeCell ref="B40:B132"/>
    <mergeCell ref="H21:I21"/>
    <mergeCell ref="D45:E45"/>
    <mergeCell ref="D52:E52"/>
    <mergeCell ref="F9:G10"/>
    <mergeCell ref="H9:I10"/>
    <mergeCell ref="B13:B24"/>
    <mergeCell ref="H34:I34"/>
    <mergeCell ref="C7:C12"/>
    <mergeCell ref="F12:G12"/>
    <mergeCell ref="F7:G8"/>
    <mergeCell ref="F11:I11"/>
    <mergeCell ref="E7:E12"/>
    <mergeCell ref="D7:D12"/>
    <mergeCell ref="H7:I8"/>
    <mergeCell ref="H12:I12"/>
    <mergeCell ref="F15:G15"/>
    <mergeCell ref="F21:G21"/>
    <mergeCell ref="F23:G23"/>
    <mergeCell ref="H23:I23"/>
    <mergeCell ref="C42:C45"/>
    <mergeCell ref="D40:E40"/>
    <mergeCell ref="H36:I36"/>
  </mergeCells>
  <pageMargins left="0.7" right="0.7" top="0.75" bottom="0.75" header="0.3" footer="0.3"/>
  <pageSetup paperSize="256" scale="55"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9">
    <pageSetUpPr fitToPage="1"/>
  </sheetPr>
  <dimension ref="A1:O120"/>
  <sheetViews>
    <sheetView zoomScaleNormal="100" workbookViewId="0">
      <pane ySplit="4" topLeftCell="A5" activePane="bottomLeft" state="frozen"/>
      <selection activeCell="N1" sqref="N1:S3"/>
      <selection pane="bottomLeft"/>
    </sheetView>
  </sheetViews>
  <sheetFormatPr defaultColWidth="15.42578125" defaultRowHeight="12.75"/>
  <cols>
    <col min="1" max="1" width="2.85546875" style="266" customWidth="1"/>
    <col min="2" max="2" width="2.85546875" style="2" customWidth="1"/>
    <col min="3" max="3" width="22.85546875" style="2" customWidth="1"/>
    <col min="4" max="4" width="35" style="2" customWidth="1"/>
    <col min="5" max="5" width="13.5703125" style="48" customWidth="1"/>
    <col min="6" max="6" width="13.5703125" style="266" customWidth="1"/>
    <col min="7" max="7" width="13.5703125" style="48" customWidth="1"/>
    <col min="8" max="10" width="17.140625" style="266" customWidth="1"/>
    <col min="11" max="11" width="18.7109375" style="266" customWidth="1"/>
    <col min="12" max="12" width="18.7109375" style="51" customWidth="1"/>
    <col min="13" max="13" width="12.85546875" style="266" customWidth="1"/>
    <col min="14" max="14" width="15.42578125" style="2" customWidth="1"/>
    <col min="15" max="16384" width="15.42578125" style="2"/>
  </cols>
  <sheetData>
    <row r="1" spans="1:15" ht="12.75" customHeight="1">
      <c r="B1" s="266"/>
      <c r="C1" s="266"/>
      <c r="D1" s="266"/>
      <c r="G1" s="268"/>
      <c r="I1" s="268"/>
      <c r="J1" s="268"/>
      <c r="K1" s="708"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L1" s="708"/>
      <c r="M1" s="708"/>
      <c r="N1" s="708"/>
      <c r="O1" s="708"/>
    </row>
    <row r="2" spans="1:15" ht="12.75" customHeight="1">
      <c r="B2" s="266"/>
      <c r="C2" s="266"/>
      <c r="D2" s="295"/>
      <c r="E2" s="268"/>
      <c r="F2" s="268"/>
      <c r="G2" s="268"/>
      <c r="H2" s="268"/>
      <c r="I2" s="268"/>
      <c r="J2" s="268"/>
      <c r="K2" s="708"/>
      <c r="L2" s="708"/>
      <c r="M2" s="708"/>
      <c r="N2" s="708"/>
      <c r="O2" s="708"/>
    </row>
    <row r="3" spans="1:15" ht="12.75" customHeight="1">
      <c r="B3" s="266"/>
      <c r="C3" s="266"/>
      <c r="D3" s="295"/>
      <c r="E3" s="268"/>
      <c r="F3" s="268"/>
      <c r="G3" s="268"/>
      <c r="H3" s="268"/>
      <c r="I3" s="268"/>
      <c r="J3" s="268"/>
      <c r="K3" s="708"/>
      <c r="L3" s="708"/>
      <c r="M3" s="708"/>
      <c r="N3" s="708"/>
      <c r="O3" s="708"/>
    </row>
    <row r="4" spans="1:15" s="34" customFormat="1" ht="12.75" customHeight="1">
      <c r="A4" s="269"/>
      <c r="B4" s="269"/>
      <c r="C4" s="35" t="str">
        <f>IF('Język - Language'!$B$30="Polski","            Oferta Wideo","             Video")</f>
        <v xml:space="preserve">            Oferta Wideo</v>
      </c>
      <c r="D4" s="269"/>
      <c r="E4" s="269"/>
      <c r="F4" s="269"/>
      <c r="H4" s="269"/>
      <c r="I4" s="269"/>
      <c r="J4" s="269"/>
      <c r="K4" s="269"/>
      <c r="L4" s="269"/>
    </row>
    <row r="5" spans="1:15" ht="12.75" customHeight="1">
      <c r="B5" s="266"/>
      <c r="C5" s="266"/>
      <c r="D5" s="266"/>
      <c r="E5" s="266"/>
      <c r="G5" s="266"/>
      <c r="L5" s="266"/>
      <c r="N5" s="266"/>
    </row>
    <row r="6" spans="1:15" s="90" customFormat="1" ht="12.75" customHeight="1">
      <c r="A6" s="266"/>
      <c r="B6" s="266"/>
      <c r="C6" s="266"/>
      <c r="D6" s="266"/>
      <c r="E6" s="266"/>
      <c r="F6" s="266"/>
      <c r="G6" s="266"/>
      <c r="H6" s="266"/>
      <c r="I6" s="266"/>
      <c r="J6" s="266"/>
      <c r="K6" s="266"/>
      <c r="L6" s="266"/>
      <c r="M6" s="266"/>
      <c r="N6" s="266"/>
    </row>
    <row r="7" spans="1:15" ht="25.5" customHeight="1">
      <c r="B7" s="264"/>
      <c r="C7" s="1062" t="str">
        <f>IF('Język - Language'!$B$30="Polski","PAKIET","PACKAGE")</f>
        <v>PAKIET</v>
      </c>
      <c r="D7" s="1066" t="str">
        <f>IF('Język - Language'!$B$30="Polski","MIEJSCE EMISJI","PLACE OF EMISSION")</f>
        <v>MIEJSCE EMISJI</v>
      </c>
      <c r="E7" s="1064" t="s">
        <v>278</v>
      </c>
      <c r="F7" s="1045"/>
      <c r="G7" s="1065"/>
      <c r="H7" s="1044" t="s">
        <v>279</v>
      </c>
      <c r="I7" s="1046"/>
      <c r="J7" s="1044" t="s">
        <v>293</v>
      </c>
      <c r="K7" s="1045"/>
      <c r="L7" s="1046"/>
      <c r="M7" s="1044" t="s">
        <v>283</v>
      </c>
      <c r="N7" s="1045"/>
      <c r="O7" s="1046"/>
    </row>
    <row r="8" spans="1:15" ht="25.5" customHeight="1">
      <c r="B8" s="264"/>
      <c r="C8" s="1063"/>
      <c r="D8" s="1067"/>
      <c r="E8" s="246" t="s">
        <v>200</v>
      </c>
      <c r="F8" s="246" t="s">
        <v>59</v>
      </c>
      <c r="G8" s="246" t="s">
        <v>60</v>
      </c>
      <c r="H8" s="246" t="s">
        <v>59</v>
      </c>
      <c r="I8" s="246" t="s">
        <v>60</v>
      </c>
      <c r="J8" s="246" t="s">
        <v>200</v>
      </c>
      <c r="K8" s="246" t="s">
        <v>59</v>
      </c>
      <c r="L8" s="246" t="s">
        <v>60</v>
      </c>
      <c r="M8" s="246" t="s">
        <v>200</v>
      </c>
      <c r="N8" s="246" t="s">
        <v>59</v>
      </c>
      <c r="O8" s="246" t="s">
        <v>60</v>
      </c>
    </row>
    <row r="9" spans="1:15" ht="36" customHeight="1">
      <c r="B9" s="966" t="str">
        <f>IF('Język - Language'!$B$30="Polski","EMISJA ODSŁONOWA CPV 3x100 Instream VideoAd","CPM EMISSION")</f>
        <v>EMISJA ODSŁONOWA CPV 3x100 Instream VideoAd</v>
      </c>
      <c r="C9" s="281" t="s">
        <v>103</v>
      </c>
      <c r="D9" s="274" t="str">
        <f>IF('Język - Language'!$B$30="Polski","WPM Zasięg (bez stron głównych o2 i WP oraz bez serwisów pocztowych)","WPM Reach (without o2 HP, WP HP and e-mail services)")</f>
        <v>WPM Zasięg (bez stron głównych o2 i WP oraz bez serwisów pocztowych)</v>
      </c>
      <c r="E9" s="611">
        <v>0.02</v>
      </c>
      <c r="F9" s="612">
        <v>0.03</v>
      </c>
      <c r="G9" s="613">
        <v>0.05</v>
      </c>
      <c r="H9" s="1053" t="s">
        <v>47</v>
      </c>
      <c r="I9" s="1056" t="s">
        <v>47</v>
      </c>
      <c r="J9" s="611">
        <v>0.01</v>
      </c>
      <c r="K9" s="612">
        <v>0.02</v>
      </c>
      <c r="L9" s="613">
        <v>0.04</v>
      </c>
      <c r="M9" s="650">
        <v>10</v>
      </c>
      <c r="N9" s="648">
        <v>20</v>
      </c>
      <c r="O9" s="649">
        <v>40</v>
      </c>
    </row>
    <row r="10" spans="1:15" s="266" customFormat="1" ht="36" customHeight="1">
      <c r="B10" s="966"/>
      <c r="C10" s="282" t="str">
        <f>IF('Język - Language'!$B$30="Polski","WYBRANY KANAŁ / SERWIS","SELECTED CHANNEL / SERVICE")</f>
        <v>WYBRANY KANAŁ / SERWIS</v>
      </c>
      <c r="D10" s="275"/>
      <c r="E10" s="614">
        <v>0.05</v>
      </c>
      <c r="F10" s="615">
        <v>7.0000000000000007E-2</v>
      </c>
      <c r="G10" s="616">
        <v>0.1</v>
      </c>
      <c r="H10" s="1054"/>
      <c r="I10" s="1057"/>
      <c r="J10" s="1050" t="s">
        <v>47</v>
      </c>
      <c r="K10" s="1038" t="s">
        <v>47</v>
      </c>
      <c r="L10" s="1036" t="s">
        <v>47</v>
      </c>
      <c r="M10" s="1050" t="s">
        <v>47</v>
      </c>
      <c r="N10" s="1038" t="s">
        <v>47</v>
      </c>
      <c r="O10" s="1036" t="s">
        <v>47</v>
      </c>
    </row>
    <row r="11" spans="1:15" s="227" customFormat="1" ht="36" customHeight="1">
      <c r="A11" s="266"/>
      <c r="B11" s="966"/>
      <c r="C11" s="250" t="str">
        <f>IF('Język - Language'!$B$30="Polski","BIZNES","BUSINESS")</f>
        <v>BIZNES</v>
      </c>
      <c r="D11" s="315" t="str">
        <f>'Serwisy &amp; Pakiety'!D45:E45</f>
        <v>WP Finanse, Praca.money.pl , Portal Money.pl</v>
      </c>
      <c r="E11" s="614">
        <v>0.04</v>
      </c>
      <c r="F11" s="615">
        <v>0.06</v>
      </c>
      <c r="G11" s="616">
        <v>0.08</v>
      </c>
      <c r="H11" s="1054"/>
      <c r="I11" s="1057"/>
      <c r="J11" s="1051"/>
      <c r="K11" s="1039"/>
      <c r="L11" s="1037"/>
      <c r="M11" s="1051"/>
      <c r="N11" s="1039"/>
      <c r="O11" s="1037"/>
    </row>
    <row r="12" spans="1:15" s="227" customFormat="1" ht="42" customHeight="1">
      <c r="A12" s="266"/>
      <c r="B12" s="966"/>
      <c r="C12" s="249" t="str">
        <f>IF('Język - Language'!$B$30="Polski","INFO I SPORT","INFO AND SPORT")</f>
        <v>INFO I SPORT</v>
      </c>
      <c r="D12" s="315" t="str">
        <f>'Serwisy &amp; Pakiety'!D52:E52</f>
        <v>WP Wiadomości, WP Opinie, WP Pogoda, WP SportoweFakty, WP Wroclaw, Wawalove</v>
      </c>
      <c r="E12" s="1070">
        <v>0.03</v>
      </c>
      <c r="F12" s="1073">
        <v>0.04</v>
      </c>
      <c r="G12" s="1041">
        <v>0.06</v>
      </c>
      <c r="H12" s="1054"/>
      <c r="I12" s="1057"/>
      <c r="J12" s="1051"/>
      <c r="K12" s="1039"/>
      <c r="L12" s="1037"/>
      <c r="M12" s="1051"/>
      <c r="N12" s="1039"/>
      <c r="O12" s="1037"/>
    </row>
    <row r="13" spans="1:15" s="227" customFormat="1" ht="36" customHeight="1">
      <c r="A13" s="266"/>
      <c r="B13" s="966"/>
      <c r="C13" s="250" t="str">
        <f>IF('Język - Language'!$B$30="Polski","MOTORYZACJA","AUTOMOTIVE")</f>
        <v>MOTORYZACJA</v>
      </c>
      <c r="D13" s="315" t="str">
        <f>'Serwisy &amp; Pakiety'!D56:E56</f>
        <v>WP Autokult, WP Moto, Autocentrum</v>
      </c>
      <c r="E13" s="1071"/>
      <c r="F13" s="1074"/>
      <c r="G13" s="1042"/>
      <c r="H13" s="1054"/>
      <c r="I13" s="1057"/>
      <c r="J13" s="1051"/>
      <c r="K13" s="1039"/>
      <c r="L13" s="1037"/>
      <c r="M13" s="1051"/>
      <c r="N13" s="1039"/>
      <c r="O13" s="1037"/>
    </row>
    <row r="14" spans="1:15" ht="52.5" customHeight="1">
      <c r="B14" s="966"/>
      <c r="C14" s="249" t="str">
        <f>IF('Język - Language'!$B$30="Polski","ROZRYWKA","FUN")</f>
        <v>ROZRYWKA</v>
      </c>
      <c r="D14" s="315" t="str">
        <f>'Serwisy &amp; Pakiety'!D69:E69</f>
        <v>WP Film, WP Gry, WP Gwiazdy, WP Książki, WP Program TV, WP Teleshow, WP Pilot, WP Wideo, polygamia.pl, Pudelek, o2 serwisy, OpenFM</v>
      </c>
      <c r="E14" s="1071"/>
      <c r="F14" s="1074"/>
      <c r="G14" s="1042"/>
      <c r="H14" s="1054"/>
      <c r="I14" s="1057"/>
      <c r="J14" s="1051"/>
      <c r="K14" s="1039"/>
      <c r="L14" s="1037"/>
      <c r="M14" s="1051"/>
      <c r="N14" s="1039"/>
      <c r="O14" s="1037"/>
    </row>
    <row r="15" spans="1:15" ht="52.5" customHeight="1">
      <c r="B15" s="966"/>
      <c r="C15" s="250" t="str">
        <f>IF('Język - Language'!$B$30="Polski","STYL ŻYCIA","LIFESTYLE")</f>
        <v>STYL ŻYCIA</v>
      </c>
      <c r="D15" s="315" t="str">
        <f>'Serwisy &amp; Pakiety'!D84:E84</f>
        <v>WP abcZdrowie, WP Dom, WP Facet, WP Kobieta, Kafeteria.pl, WP Kuchnia, WP Parenting, WP Pilot, WP Program TV, WP Turystyka, WP Wroclaw, OpenFM, Praca.money.pl, Wawalove</v>
      </c>
      <c r="E15" s="1071"/>
      <c r="F15" s="1074"/>
      <c r="G15" s="1042"/>
      <c r="H15" s="1054"/>
      <c r="I15" s="1057"/>
      <c r="J15" s="1051"/>
      <c r="K15" s="1039"/>
      <c r="L15" s="1037"/>
      <c r="M15" s="1051"/>
      <c r="N15" s="1039"/>
      <c r="O15" s="1037"/>
    </row>
    <row r="16" spans="1:15" ht="42" customHeight="1">
      <c r="B16" s="966"/>
      <c r="C16" s="250" t="str">
        <f>IF('Język - Language'!$B$30="Polski","TECHNOLOGIA","TECHNOLOGY")</f>
        <v>TECHNOLOGIA</v>
      </c>
      <c r="D16" s="315" t="str">
        <f>'Serwisy &amp; Pakiety'!D92:E92</f>
        <v>WP Tech, WP Gry, WP Fotoblogia, WP Gadżetomania, WP Komórkomania, dobreprogramy.pl⁵, polygamia.pl</v>
      </c>
      <c r="E16" s="1072"/>
      <c r="F16" s="1075"/>
      <c r="G16" s="1043"/>
      <c r="H16" s="1054"/>
      <c r="I16" s="1057"/>
      <c r="J16" s="1051"/>
      <c r="K16" s="1039"/>
      <c r="L16" s="1037"/>
      <c r="M16" s="1051"/>
      <c r="N16" s="1039"/>
      <c r="O16" s="1037"/>
    </row>
    <row r="17" spans="1:15" s="46" customFormat="1" ht="36" customHeight="1">
      <c r="A17" s="266"/>
      <c r="B17" s="966"/>
      <c r="C17" s="250" t="str">
        <f>IF('Język - Language'!$B$30="Polski","ZDROWIE I PARENTING","HEALTH AND PARENTING")</f>
        <v>ZDROWIE I PARENTING</v>
      </c>
      <c r="D17" s="315" t="str">
        <f>'Serwisy &amp; Pakiety'!D98:E98</f>
        <v>WP abcZdrowie, WP Fitness, WP Parenting, Medycyna24, Nerwica.com</v>
      </c>
      <c r="E17" s="614">
        <v>0.05</v>
      </c>
      <c r="F17" s="615">
        <v>7.0000000000000007E-2</v>
      </c>
      <c r="G17" s="616">
        <v>0.1</v>
      </c>
      <c r="H17" s="1055"/>
      <c r="I17" s="1058"/>
      <c r="J17" s="1051"/>
      <c r="K17" s="1039"/>
      <c r="L17" s="1037"/>
      <c r="M17" s="1051"/>
      <c r="N17" s="1039"/>
      <c r="O17" s="1037"/>
    </row>
    <row r="18" spans="1:15" s="266" customFormat="1" ht="36" customHeight="1">
      <c r="B18" s="966"/>
      <c r="C18" s="250" t="str">
        <f>IF('Język - Language'!$B$30="Polski","WIDEO I AUDIO","VIDEO AND AUDIO")</f>
        <v>WIDEO I AUDIO</v>
      </c>
      <c r="D18" s="315" t="str">
        <f>'Serwisy &amp; Pakiety'!D102:E102</f>
        <v>WP Pilot, WP Wideo, OpenFM</v>
      </c>
      <c r="E18" s="1070">
        <v>0.04</v>
      </c>
      <c r="F18" s="1073">
        <v>0.06</v>
      </c>
      <c r="G18" s="1041">
        <v>0.08</v>
      </c>
      <c r="H18" s="614" t="s">
        <v>248</v>
      </c>
      <c r="I18" s="616" t="s">
        <v>249</v>
      </c>
      <c r="J18" s="1051"/>
      <c r="K18" s="614" t="s">
        <v>287</v>
      </c>
      <c r="L18" s="616" t="s">
        <v>284</v>
      </c>
      <c r="M18" s="1051"/>
      <c r="N18" s="614" t="s">
        <v>285</v>
      </c>
      <c r="O18" s="616" t="s">
        <v>286</v>
      </c>
    </row>
    <row r="19" spans="1:15" s="266" customFormat="1" ht="52.5" customHeight="1">
      <c r="B19" s="966"/>
      <c r="C19" s="397" t="str">
        <f>IF('Język - Language'!$B$30="Polski","PAKIET SPECJALNY 'KOBIETA'","DEDICATED PACKAGE 'WOMAN'")</f>
        <v>PAKIET SPECJALNY 'KOBIETA'</v>
      </c>
      <c r="D19" s="396" t="str">
        <f>'Serwisy &amp; Pakiety'!D115:E115</f>
        <v>Kafeteria.pl, WP Kobieta, Pudelek, WP Dom, WP Gwiazdy, WP Kuchnia, WP Fitness, WP abcZdrowie, WP Parenting, WP Pilot, WP Teleshow, WP Książki</v>
      </c>
      <c r="E19" s="1071"/>
      <c r="F19" s="1074"/>
      <c r="G19" s="1042"/>
      <c r="H19" s="1059" t="s">
        <v>47</v>
      </c>
      <c r="I19" s="1060" t="s">
        <v>47</v>
      </c>
      <c r="J19" s="1051"/>
      <c r="K19" s="1038" t="s">
        <v>47</v>
      </c>
      <c r="L19" s="1036" t="s">
        <v>47</v>
      </c>
      <c r="M19" s="1051"/>
      <c r="N19" s="1038" t="s">
        <v>47</v>
      </c>
      <c r="O19" s="1036" t="s">
        <v>47</v>
      </c>
    </row>
    <row r="20" spans="1:15" s="266" customFormat="1" ht="60" customHeight="1">
      <c r="B20" s="966"/>
      <c r="C20" s="397" t="str">
        <f>IF('Język - Language'!$B$30="Polski","PAKIET SPECJALNY 'MĘŻCZYZNA'","DEDICATED PACKAGE 'MAN'")</f>
        <v>PAKIET SPECJALNY 'MĘŻCZYZNA'</v>
      </c>
      <c r="D20" s="396" t="str">
        <f>'Serwisy &amp; Pakiety'!D131:E131</f>
        <v>WP SportoweFakty, WP Facet, WP Dom, WP Moto, WP Tech, WP Autokult, WP Fotoblogia, WP Gadżetomania, WP Komórkomania, WP Gry, WP Pilot, WP Film, Autocentrum, dobreprogramy.pl⁵, polygamia.pl</v>
      </c>
      <c r="E20" s="1071"/>
      <c r="F20" s="1074"/>
      <c r="G20" s="1042"/>
      <c r="H20" s="1054"/>
      <c r="I20" s="1057"/>
      <c r="J20" s="1051"/>
      <c r="K20" s="1039"/>
      <c r="L20" s="1037"/>
      <c r="M20" s="1051"/>
      <c r="N20" s="1039"/>
      <c r="O20" s="1037"/>
    </row>
    <row r="21" spans="1:15" ht="36" customHeight="1">
      <c r="B21" s="966"/>
      <c r="C21" s="281" t="s">
        <v>61</v>
      </c>
      <c r="D21" s="494" t="str">
        <f>IF('Język - Language'!$B$30="Polski","Min. 4 wybrane serwisy - BEZ SERWISÓW KATEGORII BIZNES oraz ZDROWIE I PRENTING","Min. 4 selected sites - EXCLUDING BUSINESS, HEALTH AND PARENTING SITES")</f>
        <v>Min. 4 wybrane serwisy - BEZ SERWISÓW KATEGORII BIZNES oraz ZDROWIE I PRENTING</v>
      </c>
      <c r="E21" s="1072"/>
      <c r="F21" s="1075"/>
      <c r="G21" s="1043"/>
      <c r="H21" s="1055"/>
      <c r="I21" s="1058"/>
      <c r="J21" s="1052"/>
      <c r="K21" s="1040"/>
      <c r="L21" s="1049"/>
      <c r="M21" s="1052"/>
      <c r="N21" s="1040"/>
      <c r="O21" s="1049"/>
    </row>
    <row r="22" spans="1:15" s="266" customFormat="1" ht="25.5" customHeight="1">
      <c r="B22" s="550"/>
      <c r="C22" s="547"/>
      <c r="D22" s="548"/>
      <c r="E22" s="549"/>
      <c r="F22" s="549"/>
      <c r="G22" s="549"/>
      <c r="H22" s="549"/>
      <c r="I22" s="549"/>
      <c r="J22" s="549"/>
      <c r="K22" s="549"/>
    </row>
    <row r="23" spans="1:15" s="266" customFormat="1" ht="25.5" customHeight="1">
      <c r="B23" s="966" t="s">
        <v>203</v>
      </c>
      <c r="C23" s="1062" t="str">
        <f>IF('Język - Language'!$B$30="Polski","PAKIET","PACKAGE")</f>
        <v>PAKIET</v>
      </c>
      <c r="D23" s="1066" t="str">
        <f>IF('Język - Language'!$B$30="Polski","MIEJSCE EMISJI","PLACE OF EMISSION")</f>
        <v>MIEJSCE EMISJI</v>
      </c>
      <c r="E23" s="1044" t="str">
        <f>IF('Język - Language'!$B$30="Polski","InStream Video Ad CPM, Instream Video Skip Ad CPM (cena RC)","INSTREAM VIDEO AD CPM, PREROLL SKIP AD CPM (Rate Card)")</f>
        <v>InStream Video Ad CPM, Instream Video Skip Ad CPM (cena RC)</v>
      </c>
      <c r="F23" s="1045"/>
      <c r="G23" s="1046"/>
      <c r="H23" s="230" t="str">
        <f>IF('Język - Language'!$B$30="Polski","Instream Audio Ad OPEN.FM (cena RC)","INSTREAM AUDIO AD OPEN.FM (cena RC)")</f>
        <v>Instream Audio Ad OPEN.FM (cena RC)</v>
      </c>
      <c r="I23" s="555" t="s">
        <v>280</v>
      </c>
      <c r="J23" s="264"/>
      <c r="K23" s="264"/>
      <c r="L23" s="283"/>
    </row>
    <row r="24" spans="1:15" s="266" customFormat="1" ht="25.5" customHeight="1">
      <c r="B24" s="966"/>
      <c r="C24" s="1068"/>
      <c r="D24" s="1069"/>
      <c r="E24" s="1044" t="str">
        <f>IF('Język - Language'!$B$30="Polski","rozliczenie CPM za rozpoczęte odtworzenia, wg statystyk wewnętrznych WPM²","CPM settlement for started video playbacks, according to internal statistics of WPM²")</f>
        <v>rozliczenie CPM za rozpoczęte odtworzenia, wg statystyk wewnętrznych WPM²</v>
      </c>
      <c r="F24" s="1045"/>
      <c r="G24" s="1046"/>
      <c r="H24" s="553"/>
      <c r="I24" s="554"/>
      <c r="J24" s="546"/>
      <c r="L24" s="283"/>
    </row>
    <row r="25" spans="1:15" s="266" customFormat="1" ht="25.5" customHeight="1">
      <c r="B25" s="966"/>
      <c r="C25" s="1063"/>
      <c r="D25" s="1067"/>
      <c r="E25" s="248" t="s">
        <v>59</v>
      </c>
      <c r="F25" s="246" t="str">
        <f>IF('Język - Language'!$B$30="Polski",CONCATENATE("30",CHAR(34)," i dłuższy³"),CONCATENATE("30",CHAR(34)," or longer³"))</f>
        <v>30" i dłuższy³</v>
      </c>
      <c r="G25" s="246" t="s">
        <v>209</v>
      </c>
      <c r="H25" s="247" t="s">
        <v>210</v>
      </c>
      <c r="I25" s="554"/>
      <c r="J25" s="264"/>
      <c r="K25" s="264"/>
      <c r="L25" s="283"/>
    </row>
    <row r="26" spans="1:15" s="266" customFormat="1" ht="42" customHeight="1">
      <c r="B26" s="966"/>
      <c r="C26" s="249" t="s">
        <v>103</v>
      </c>
      <c r="D26" s="274" t="str">
        <f>IF('Język - Language'!$B$30="Polski","WPM Zasięg (bez stron głównych o2 i WP oraz bez serwisów pocztowych)","WPM Reach (without o2 HP, WP HP and e-mail services)")</f>
        <v>WPM Zasięg (bez stron głównych o2 i WP oraz bez serwisów pocztowych)</v>
      </c>
      <c r="E26" s="653" t="s">
        <v>47</v>
      </c>
      <c r="F26" s="654" t="s">
        <v>47</v>
      </c>
      <c r="G26" s="552">
        <v>155</v>
      </c>
      <c r="H26" s="651" t="s">
        <v>47</v>
      </c>
      <c r="I26" s="509">
        <v>80</v>
      </c>
      <c r="J26" s="264"/>
      <c r="K26" s="264"/>
      <c r="L26" s="546"/>
    </row>
    <row r="27" spans="1:15" s="266" customFormat="1" ht="42" customHeight="1">
      <c r="B27" s="966"/>
      <c r="C27" s="551" t="s">
        <v>201</v>
      </c>
      <c r="D27" s="510" t="s">
        <v>202</v>
      </c>
      <c r="E27" s="545">
        <v>110</v>
      </c>
      <c r="F27" s="630">
        <v>165</v>
      </c>
      <c r="G27" s="655" t="s">
        <v>47</v>
      </c>
      <c r="H27" s="1047" t="s">
        <v>47</v>
      </c>
      <c r="I27" s="1048"/>
      <c r="J27" s="264"/>
      <c r="K27" s="264"/>
      <c r="L27" s="546"/>
    </row>
    <row r="28" spans="1:15" s="266" customFormat="1" ht="42" customHeight="1">
      <c r="B28" s="1061"/>
      <c r="C28" s="250" t="s">
        <v>134</v>
      </c>
      <c r="D28" s="511" t="s">
        <v>204</v>
      </c>
      <c r="E28" s="658" t="s">
        <v>47</v>
      </c>
      <c r="F28" s="657" t="s">
        <v>47</v>
      </c>
      <c r="G28" s="656" t="s">
        <v>47</v>
      </c>
      <c r="H28" s="602">
        <v>80</v>
      </c>
      <c r="I28" s="652" t="s">
        <v>47</v>
      </c>
      <c r="J28" s="264"/>
      <c r="K28" s="264"/>
      <c r="L28" s="546"/>
    </row>
    <row r="29" spans="1:15">
      <c r="B29" s="266"/>
      <c r="C29" s="232" t="str">
        <f>IF('Język - Language'!$B$30="Polski","¹ OutStream - dotyczy emisji tylko na wybranych serwisach, niedostępny dla modelu Skip Ad","¹ OutStream - available only in selected sites, not avaible for Skip Ad")</f>
        <v>¹ OutStream - dotyczy emisji tylko na wybranych serwisach, niedostępny dla modelu Skip Ad</v>
      </c>
      <c r="D29" s="233"/>
      <c r="E29" s="283"/>
      <c r="F29" s="283"/>
      <c r="G29" s="283"/>
      <c r="H29" s="283"/>
      <c r="I29" s="283"/>
      <c r="J29" s="283"/>
      <c r="K29" s="283"/>
      <c r="L29" s="231"/>
      <c r="M29" s="283"/>
      <c r="N29" s="283"/>
    </row>
    <row r="30" spans="1:15">
      <c r="B30" s="266"/>
      <c r="C30" s="283" t="str">
        <f>IF('Język - Language'!$B$30="Polski","² W przypadku emisji InStream Video Ad z kodów emisyjnych (nie dotyczy oferty 3x100) dopłata do ceny bazowej +30%. Dopłata ta dopuszcza ewentualną doemisję maksymalnie 30% różnicy pomiędzy statystykami po stronie klienta i po stronie WPM.","² In case of Instream Video Ad broadcast from external codes, the extra charge of 30% applies")</f>
        <v>² W przypadku emisji InStream Video Ad z kodów emisyjnych (nie dotyczy oferty 3x100) dopłata do ceny bazowej +30%. Dopłata ta dopuszcza ewentualną doemisję maksymalnie 30% różnicy pomiędzy statystykami po stronie klienta i po stronie WPM.</v>
      </c>
      <c r="D30" s="1"/>
      <c r="E30" s="266"/>
      <c r="G30" s="266"/>
      <c r="L30" s="266"/>
      <c r="N30" s="283"/>
    </row>
    <row r="31" spans="1:15">
      <c r="B31" s="266"/>
      <c r="C31" s="283" t="str">
        <f>IF('Język - Language'!$B$30="Polski",CONCATENATE("³ InStream Video Ad 30",CHAR(34),"+ tylko w modelu Skip Ad"),CONCATENATE("³ InStream Video Ad 30",CHAR(34),"+ only for Skip Ad"))</f>
        <v>³ InStream Video Ad 30"+ tylko w modelu Skip Ad</v>
      </c>
      <c r="D31" s="266"/>
      <c r="E31" s="266"/>
      <c r="G31" s="266"/>
      <c r="L31" s="266"/>
      <c r="N31" s="266"/>
    </row>
    <row r="32" spans="1:15">
      <c r="B32" s="266"/>
      <c r="C32" s="187" t="s">
        <v>206</v>
      </c>
      <c r="D32" s="266"/>
      <c r="E32" s="266"/>
      <c r="G32" s="266"/>
      <c r="L32" s="266"/>
      <c r="N32" s="266"/>
    </row>
    <row r="33" spans="1:14" s="266" customFormat="1">
      <c r="C33" s="187" t="s">
        <v>247</v>
      </c>
    </row>
    <row r="34" spans="1:14" s="266" customFormat="1">
      <c r="C34" s="187" t="s">
        <v>275</v>
      </c>
    </row>
    <row r="35" spans="1:14" s="266" customFormat="1">
      <c r="C35" s="187" t="s">
        <v>276</v>
      </c>
    </row>
    <row r="36" spans="1:14" s="266" customFormat="1">
      <c r="C36" s="187" t="s">
        <v>277</v>
      </c>
    </row>
    <row r="37" spans="1:14" s="266" customFormat="1">
      <c r="C37" s="187" t="s">
        <v>294</v>
      </c>
    </row>
    <row r="38" spans="1:14" s="266" customFormat="1">
      <c r="C38" s="187"/>
    </row>
    <row r="39" spans="1:14">
      <c r="B39" s="266"/>
      <c r="C39" s="286" t="s">
        <v>212</v>
      </c>
      <c r="D39" s="266"/>
      <c r="E39" s="266"/>
      <c r="G39" s="266"/>
      <c r="L39" s="266"/>
      <c r="N39" s="266"/>
    </row>
    <row r="40" spans="1:14">
      <c r="B40" s="266"/>
      <c r="C40" s="286" t="s">
        <v>213</v>
      </c>
      <c r="D40" s="266"/>
      <c r="E40" s="266"/>
      <c r="G40" s="266"/>
      <c r="L40" s="266"/>
      <c r="N40" s="266"/>
    </row>
    <row r="41" spans="1:14" ht="15">
      <c r="B41" s="266"/>
      <c r="C41" s="266"/>
      <c r="D41" s="340"/>
      <c r="E41" s="266"/>
      <c r="G41" s="266"/>
      <c r="L41" s="266"/>
      <c r="N41" s="266"/>
    </row>
    <row r="42" spans="1:14">
      <c r="A42" s="544"/>
      <c r="B42" s="266"/>
      <c r="C42" s="663" t="s">
        <v>295</v>
      </c>
      <c r="D42" s="664"/>
      <c r="E42" s="665"/>
      <c r="F42" s="666"/>
      <c r="G42" s="266"/>
      <c r="L42" s="266"/>
      <c r="N42" s="266"/>
    </row>
    <row r="43" spans="1:14">
      <c r="B43" s="266"/>
      <c r="C43" s="1033" t="s">
        <v>296</v>
      </c>
      <c r="D43" s="1034"/>
      <c r="E43" s="1035"/>
      <c r="F43" s="665" t="s">
        <v>297</v>
      </c>
      <c r="G43" s="266"/>
      <c r="L43" s="266"/>
      <c r="N43" s="266"/>
    </row>
    <row r="44" spans="1:14">
      <c r="B44" s="266"/>
      <c r="C44" s="1033" t="s">
        <v>298</v>
      </c>
      <c r="D44" s="1034"/>
      <c r="E44" s="1035"/>
      <c r="F44" s="665" t="s">
        <v>64</v>
      </c>
      <c r="G44" s="266"/>
      <c r="L44" s="266"/>
      <c r="N44" s="266"/>
    </row>
    <row r="45" spans="1:14">
      <c r="C45" s="1033" t="s">
        <v>299</v>
      </c>
      <c r="D45" s="1034"/>
      <c r="E45" s="1035"/>
      <c r="F45" s="665" t="s">
        <v>67</v>
      </c>
      <c r="G45" s="266"/>
      <c r="L45" s="266"/>
    </row>
    <row r="46" spans="1:14">
      <c r="C46" s="1033" t="s">
        <v>300</v>
      </c>
      <c r="D46" s="1034"/>
      <c r="E46" s="1035"/>
      <c r="F46" s="665" t="s">
        <v>63</v>
      </c>
      <c r="G46" s="266"/>
      <c r="L46" s="266"/>
    </row>
    <row r="47" spans="1:14">
      <c r="C47" s="1033" t="s">
        <v>301</v>
      </c>
      <c r="D47" s="1034"/>
      <c r="E47" s="1035"/>
      <c r="F47" s="665" t="s">
        <v>302</v>
      </c>
      <c r="G47" s="266"/>
      <c r="L47" s="266"/>
    </row>
    <row r="48" spans="1:14">
      <c r="C48" s="1033" t="s">
        <v>209</v>
      </c>
      <c r="D48" s="1034"/>
      <c r="E48" s="1035"/>
      <c r="F48" s="665" t="s">
        <v>62</v>
      </c>
      <c r="G48" s="266"/>
      <c r="L48" s="266"/>
    </row>
    <row r="49" spans="3:12">
      <c r="C49" s="266"/>
      <c r="D49" s="266"/>
      <c r="E49" s="266"/>
      <c r="G49" s="266"/>
      <c r="L49" s="266"/>
    </row>
    <row r="50" spans="3:12">
      <c r="C50" s="266"/>
      <c r="D50" s="266"/>
      <c r="E50" s="266"/>
      <c r="G50" s="266"/>
      <c r="L50" s="266"/>
    </row>
    <row r="51" spans="3:12">
      <c r="C51" s="266"/>
      <c r="D51" s="266"/>
      <c r="E51" s="266"/>
      <c r="G51" s="266"/>
      <c r="L51" s="266"/>
    </row>
    <row r="52" spans="3:12">
      <c r="C52" s="266"/>
      <c r="D52" s="266"/>
      <c r="E52" s="266"/>
      <c r="G52" s="266"/>
      <c r="L52" s="266"/>
    </row>
    <row r="53" spans="3:12">
      <c r="C53" s="266"/>
      <c r="D53" s="266"/>
      <c r="E53" s="266"/>
      <c r="G53" s="266"/>
      <c r="L53" s="266"/>
    </row>
    <row r="54" spans="3:12">
      <c r="C54" s="266"/>
      <c r="D54" s="266"/>
      <c r="E54" s="266"/>
      <c r="G54" s="266"/>
      <c r="L54" s="266"/>
    </row>
    <row r="55" spans="3:12">
      <c r="C55" s="266"/>
      <c r="D55" s="266"/>
      <c r="E55" s="266"/>
      <c r="G55" s="266"/>
      <c r="L55" s="266"/>
    </row>
    <row r="56" spans="3:12">
      <c r="C56" s="266"/>
      <c r="D56" s="266"/>
      <c r="E56" s="266"/>
      <c r="G56" s="266"/>
      <c r="L56" s="266"/>
    </row>
    <row r="57" spans="3:12">
      <c r="C57" s="266"/>
      <c r="D57" s="266"/>
      <c r="E57" s="266"/>
      <c r="G57" s="266"/>
      <c r="L57" s="266"/>
    </row>
    <row r="58" spans="3:12">
      <c r="C58" s="266"/>
      <c r="D58" s="266"/>
      <c r="E58" s="266"/>
      <c r="G58" s="266"/>
      <c r="L58" s="266"/>
    </row>
    <row r="59" spans="3:12">
      <c r="C59" s="266"/>
      <c r="D59" s="266"/>
      <c r="E59" s="266"/>
      <c r="G59" s="266"/>
      <c r="L59" s="266"/>
    </row>
    <row r="60" spans="3:12">
      <c r="C60" s="266"/>
      <c r="D60" s="266"/>
      <c r="E60" s="266"/>
      <c r="G60" s="266"/>
      <c r="L60" s="266"/>
    </row>
    <row r="61" spans="3:12">
      <c r="C61" s="266"/>
      <c r="D61" s="266"/>
      <c r="E61" s="266"/>
      <c r="G61" s="266"/>
      <c r="L61" s="266"/>
    </row>
    <row r="62" spans="3:12">
      <c r="C62" s="266"/>
      <c r="D62" s="266"/>
      <c r="E62" s="266"/>
      <c r="G62" s="266"/>
      <c r="L62" s="266"/>
    </row>
    <row r="63" spans="3:12">
      <c r="C63" s="266"/>
      <c r="D63" s="266"/>
      <c r="E63" s="266"/>
      <c r="G63" s="266"/>
      <c r="L63" s="266"/>
    </row>
    <row r="64" spans="3:12">
      <c r="C64" s="266"/>
      <c r="D64" s="266"/>
      <c r="E64" s="266"/>
      <c r="G64" s="266"/>
      <c r="L64" s="266"/>
    </row>
    <row r="65" spans="3:12">
      <c r="C65" s="266"/>
      <c r="D65" s="266"/>
      <c r="E65" s="266"/>
      <c r="G65" s="266"/>
      <c r="L65" s="266"/>
    </row>
    <row r="66" spans="3:12">
      <c r="C66" s="266"/>
      <c r="D66" s="266"/>
      <c r="E66" s="266"/>
      <c r="G66" s="266"/>
      <c r="L66" s="266"/>
    </row>
    <row r="67" spans="3:12">
      <c r="C67" s="266"/>
      <c r="D67" s="266"/>
      <c r="E67" s="266"/>
      <c r="G67" s="266"/>
      <c r="L67" s="266"/>
    </row>
    <row r="68" spans="3:12">
      <c r="C68" s="266"/>
      <c r="D68" s="266"/>
      <c r="E68" s="266"/>
      <c r="G68" s="266"/>
      <c r="L68" s="266"/>
    </row>
    <row r="69" spans="3:12">
      <c r="C69" s="266"/>
      <c r="D69" s="266"/>
      <c r="E69" s="266"/>
      <c r="G69" s="266"/>
      <c r="L69" s="266"/>
    </row>
    <row r="70" spans="3:12">
      <c r="C70" s="266"/>
      <c r="D70" s="266"/>
      <c r="E70" s="266"/>
      <c r="G70" s="266"/>
      <c r="L70" s="266"/>
    </row>
    <row r="71" spans="3:12">
      <c r="C71" s="266"/>
      <c r="D71" s="266"/>
      <c r="E71" s="266"/>
      <c r="G71" s="266"/>
      <c r="L71" s="266"/>
    </row>
    <row r="72" spans="3:12">
      <c r="C72" s="266"/>
      <c r="D72" s="266"/>
      <c r="E72" s="266"/>
      <c r="G72" s="266"/>
      <c r="L72" s="266"/>
    </row>
    <row r="73" spans="3:12">
      <c r="C73" s="266"/>
      <c r="D73" s="266"/>
      <c r="E73" s="266"/>
      <c r="G73" s="266"/>
      <c r="L73" s="266"/>
    </row>
    <row r="74" spans="3:12">
      <c r="C74" s="266"/>
      <c r="D74" s="266"/>
      <c r="E74" s="266"/>
      <c r="G74" s="266"/>
      <c r="L74" s="266"/>
    </row>
    <row r="75" spans="3:12">
      <c r="C75" s="266"/>
      <c r="D75" s="266"/>
      <c r="E75" s="266"/>
      <c r="G75" s="266"/>
      <c r="L75" s="266"/>
    </row>
    <row r="76" spans="3:12">
      <c r="C76" s="266"/>
      <c r="D76" s="266"/>
      <c r="E76" s="266"/>
      <c r="G76" s="266"/>
      <c r="L76" s="266"/>
    </row>
    <row r="77" spans="3:12">
      <c r="C77" s="266"/>
      <c r="D77" s="266"/>
      <c r="E77" s="266"/>
      <c r="G77" s="266"/>
      <c r="L77" s="266"/>
    </row>
    <row r="78" spans="3:12">
      <c r="C78" s="266"/>
      <c r="D78" s="266"/>
      <c r="E78" s="266"/>
      <c r="G78" s="266"/>
      <c r="L78" s="266"/>
    </row>
    <row r="79" spans="3:12">
      <c r="C79" s="266"/>
      <c r="D79" s="266"/>
      <c r="E79" s="266"/>
      <c r="G79" s="266"/>
      <c r="L79" s="266"/>
    </row>
    <row r="80" spans="3:12">
      <c r="C80" s="266"/>
      <c r="D80" s="266"/>
      <c r="E80" s="266"/>
      <c r="G80" s="266"/>
      <c r="L80" s="266"/>
    </row>
    <row r="81" spans="3:12">
      <c r="C81" s="266"/>
      <c r="D81" s="266"/>
      <c r="E81" s="266"/>
      <c r="G81" s="266"/>
      <c r="L81" s="266"/>
    </row>
    <row r="82" spans="3:12">
      <c r="C82" s="266"/>
      <c r="D82" s="266"/>
      <c r="E82" s="266"/>
      <c r="G82" s="266"/>
      <c r="L82" s="266"/>
    </row>
    <row r="83" spans="3:12">
      <c r="C83" s="266"/>
      <c r="D83" s="266"/>
      <c r="E83" s="266"/>
      <c r="G83" s="266"/>
      <c r="L83" s="266"/>
    </row>
    <row r="84" spans="3:12">
      <c r="C84" s="266"/>
      <c r="D84" s="266"/>
      <c r="E84" s="266"/>
      <c r="G84" s="266"/>
      <c r="L84" s="266"/>
    </row>
    <row r="85" spans="3:12">
      <c r="C85" s="266"/>
      <c r="D85" s="266"/>
      <c r="E85" s="266"/>
      <c r="G85" s="266"/>
      <c r="L85" s="266"/>
    </row>
    <row r="86" spans="3:12">
      <c r="C86" s="266"/>
      <c r="D86" s="266"/>
      <c r="E86" s="266"/>
      <c r="G86" s="266"/>
      <c r="L86" s="266"/>
    </row>
    <row r="87" spans="3:12">
      <c r="C87" s="266"/>
      <c r="D87" s="266"/>
      <c r="E87" s="266"/>
      <c r="G87" s="266"/>
      <c r="L87" s="266"/>
    </row>
    <row r="88" spans="3:12">
      <c r="C88" s="266"/>
      <c r="D88" s="266"/>
      <c r="E88" s="266"/>
      <c r="G88" s="266"/>
      <c r="L88" s="266"/>
    </row>
    <row r="89" spans="3:12">
      <c r="C89" s="266"/>
      <c r="D89" s="266"/>
      <c r="E89" s="266"/>
      <c r="G89" s="266"/>
      <c r="L89" s="266"/>
    </row>
    <row r="90" spans="3:12">
      <c r="C90" s="266"/>
      <c r="D90" s="266"/>
      <c r="E90" s="266"/>
      <c r="G90" s="266"/>
      <c r="L90" s="266"/>
    </row>
    <row r="91" spans="3:12">
      <c r="C91" s="266"/>
      <c r="D91" s="266"/>
      <c r="E91" s="266"/>
      <c r="G91" s="266"/>
      <c r="L91" s="266"/>
    </row>
    <row r="92" spans="3:12">
      <c r="C92" s="266"/>
      <c r="D92" s="266"/>
      <c r="E92" s="266"/>
      <c r="G92" s="266"/>
      <c r="L92" s="266"/>
    </row>
    <row r="93" spans="3:12">
      <c r="C93" s="266"/>
      <c r="D93" s="266"/>
      <c r="E93" s="266"/>
      <c r="G93" s="266"/>
      <c r="L93" s="266"/>
    </row>
    <row r="94" spans="3:12">
      <c r="C94" s="266"/>
      <c r="D94" s="266"/>
      <c r="E94" s="266"/>
      <c r="G94" s="266"/>
      <c r="L94" s="266"/>
    </row>
    <row r="95" spans="3:12">
      <c r="C95" s="266"/>
      <c r="D95" s="266"/>
      <c r="E95" s="266"/>
      <c r="G95" s="266"/>
      <c r="L95" s="266"/>
    </row>
    <row r="96" spans="3:12">
      <c r="C96" s="266"/>
      <c r="D96" s="266"/>
      <c r="E96" s="266"/>
      <c r="G96" s="266"/>
      <c r="L96" s="266"/>
    </row>
    <row r="97" spans="3:12">
      <c r="C97" s="266"/>
      <c r="D97" s="266"/>
      <c r="E97" s="266"/>
      <c r="G97" s="266"/>
      <c r="L97" s="266"/>
    </row>
    <row r="98" spans="3:12">
      <c r="C98" s="266"/>
      <c r="D98" s="266"/>
      <c r="E98" s="266"/>
      <c r="G98" s="266"/>
      <c r="L98" s="266"/>
    </row>
    <row r="99" spans="3:12">
      <c r="C99" s="266"/>
      <c r="D99" s="266"/>
      <c r="E99" s="266"/>
      <c r="G99" s="266"/>
      <c r="L99" s="266"/>
    </row>
    <row r="100" spans="3:12">
      <c r="C100" s="266"/>
      <c r="D100" s="266"/>
      <c r="E100" s="266"/>
      <c r="G100" s="266"/>
      <c r="L100" s="266"/>
    </row>
    <row r="101" spans="3:12">
      <c r="C101" s="266"/>
      <c r="D101" s="266"/>
      <c r="E101" s="266"/>
      <c r="G101" s="266"/>
      <c r="L101" s="266"/>
    </row>
    <row r="102" spans="3:12">
      <c r="C102" s="266"/>
      <c r="D102" s="266"/>
      <c r="E102" s="266"/>
      <c r="G102" s="266"/>
      <c r="L102" s="266"/>
    </row>
    <row r="103" spans="3:12">
      <c r="C103" s="266"/>
      <c r="D103" s="266"/>
      <c r="E103" s="266"/>
      <c r="G103" s="266"/>
      <c r="L103" s="266"/>
    </row>
    <row r="104" spans="3:12">
      <c r="C104" s="266"/>
      <c r="D104" s="266"/>
      <c r="E104" s="266"/>
      <c r="G104" s="266"/>
      <c r="L104" s="266"/>
    </row>
    <row r="105" spans="3:12">
      <c r="C105" s="266"/>
      <c r="D105" s="266"/>
      <c r="E105" s="266"/>
      <c r="G105" s="266"/>
      <c r="L105" s="266"/>
    </row>
    <row r="106" spans="3:12">
      <c r="C106" s="266"/>
      <c r="D106" s="266"/>
      <c r="E106" s="266"/>
      <c r="G106" s="266"/>
      <c r="L106" s="266"/>
    </row>
    <row r="107" spans="3:12">
      <c r="C107" s="266"/>
      <c r="D107" s="266"/>
      <c r="E107" s="266"/>
      <c r="G107" s="266"/>
      <c r="L107" s="266"/>
    </row>
    <row r="108" spans="3:12">
      <c r="C108" s="266"/>
      <c r="D108" s="266"/>
      <c r="E108" s="266"/>
      <c r="G108" s="266"/>
      <c r="L108" s="266"/>
    </row>
    <row r="109" spans="3:12">
      <c r="C109" s="266"/>
      <c r="D109" s="266"/>
      <c r="E109" s="266"/>
      <c r="G109" s="266"/>
      <c r="L109" s="266"/>
    </row>
    <row r="110" spans="3:12">
      <c r="C110" s="266"/>
      <c r="D110" s="266"/>
      <c r="E110" s="266"/>
      <c r="G110" s="266"/>
      <c r="L110" s="266"/>
    </row>
    <row r="111" spans="3:12">
      <c r="C111" s="266"/>
      <c r="D111" s="266"/>
      <c r="E111" s="266"/>
      <c r="G111" s="266"/>
      <c r="L111" s="266"/>
    </row>
    <row r="112" spans="3:12">
      <c r="C112" s="266"/>
      <c r="D112" s="266"/>
      <c r="E112" s="266"/>
      <c r="G112" s="266"/>
      <c r="L112" s="266"/>
    </row>
    <row r="113" spans="3:12">
      <c r="C113" s="266"/>
      <c r="D113" s="266"/>
      <c r="E113" s="266"/>
      <c r="G113" s="266"/>
      <c r="L113" s="266"/>
    </row>
    <row r="114" spans="3:12">
      <c r="C114" s="266"/>
      <c r="D114" s="266"/>
      <c r="E114" s="266"/>
      <c r="G114" s="266"/>
      <c r="L114" s="266"/>
    </row>
    <row r="115" spans="3:12">
      <c r="C115" s="266"/>
      <c r="D115" s="266"/>
      <c r="E115" s="266"/>
      <c r="G115" s="266"/>
      <c r="L115" s="266"/>
    </row>
    <row r="116" spans="3:12">
      <c r="C116" s="266"/>
      <c r="D116" s="266"/>
      <c r="E116" s="266"/>
      <c r="G116" s="266"/>
      <c r="L116" s="266"/>
    </row>
    <row r="117" spans="3:12">
      <c r="C117" s="266"/>
      <c r="D117" s="266"/>
      <c r="E117" s="266"/>
      <c r="G117" s="266"/>
      <c r="L117" s="266"/>
    </row>
    <row r="118" spans="3:12">
      <c r="C118" s="266"/>
      <c r="D118" s="266"/>
      <c r="E118" s="266"/>
      <c r="G118" s="266"/>
      <c r="L118" s="266"/>
    </row>
    <row r="119" spans="3:12">
      <c r="C119" s="266"/>
      <c r="D119" s="266"/>
      <c r="E119" s="266"/>
      <c r="G119" s="266"/>
      <c r="L119" s="266"/>
    </row>
    <row r="120" spans="3:12">
      <c r="C120" s="266"/>
      <c r="D120" s="266"/>
      <c r="E120" s="266"/>
      <c r="G120" s="266"/>
      <c r="L120" s="266"/>
    </row>
  </sheetData>
  <mergeCells count="40">
    <mergeCell ref="B23:B28"/>
    <mergeCell ref="C7:C8"/>
    <mergeCell ref="E7:G7"/>
    <mergeCell ref="D7:D8"/>
    <mergeCell ref="B9:B21"/>
    <mergeCell ref="C23:C25"/>
    <mergeCell ref="D23:D25"/>
    <mergeCell ref="E24:G24"/>
    <mergeCell ref="E12:E16"/>
    <mergeCell ref="F12:F16"/>
    <mergeCell ref="G12:G16"/>
    <mergeCell ref="E18:E21"/>
    <mergeCell ref="F18:F21"/>
    <mergeCell ref="H7:I7"/>
    <mergeCell ref="H9:H17"/>
    <mergeCell ref="I9:I17"/>
    <mergeCell ref="H19:H21"/>
    <mergeCell ref="I19:I21"/>
    <mergeCell ref="K1:O3"/>
    <mergeCell ref="M7:O7"/>
    <mergeCell ref="K10:K17"/>
    <mergeCell ref="L10:L17"/>
    <mergeCell ref="K19:K21"/>
    <mergeCell ref="L19:L21"/>
    <mergeCell ref="M10:M21"/>
    <mergeCell ref="N10:N17"/>
    <mergeCell ref="O19:O21"/>
    <mergeCell ref="J7:L7"/>
    <mergeCell ref="J10:J21"/>
    <mergeCell ref="C48:E48"/>
    <mergeCell ref="O10:O17"/>
    <mergeCell ref="N19:N21"/>
    <mergeCell ref="G18:G21"/>
    <mergeCell ref="E23:G23"/>
    <mergeCell ref="H27:I27"/>
    <mergeCell ref="C43:E43"/>
    <mergeCell ref="C44:E44"/>
    <mergeCell ref="C45:E45"/>
    <mergeCell ref="C46:E46"/>
    <mergeCell ref="C47:E47"/>
  </mergeCells>
  <pageMargins left="0.7" right="0.7" top="0.75" bottom="0.75" header="0.3" footer="0.3"/>
  <pageSetup paperSize="256" fitToHeight="0" orientation="landscape" r:id="rId1"/>
  <ignoredErrors>
    <ignoredError sqref="F43:F48"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5">
    <pageSetUpPr fitToPage="1"/>
  </sheetPr>
  <dimension ref="A1:R31"/>
  <sheetViews>
    <sheetView zoomScaleNormal="100" workbookViewId="0">
      <pane ySplit="4" topLeftCell="A5" activePane="bottomLeft" state="frozen"/>
      <selection pane="bottomLeft"/>
    </sheetView>
  </sheetViews>
  <sheetFormatPr defaultColWidth="25" defaultRowHeight="12.75"/>
  <cols>
    <col min="1" max="1" width="5.5703125" style="2" customWidth="1"/>
    <col min="2" max="2" width="28.42578125" style="2" customWidth="1"/>
    <col min="3" max="3" width="20" style="2" customWidth="1"/>
    <col min="4" max="4" width="20" style="227" customWidth="1"/>
    <col min="5" max="9" width="20" style="2" customWidth="1"/>
    <col min="10" max="10" width="14.42578125" style="2" customWidth="1"/>
    <col min="11" max="16384" width="25" style="2"/>
  </cols>
  <sheetData>
    <row r="1" spans="1:18" ht="12.75" customHeight="1">
      <c r="A1" s="266"/>
      <c r="B1" s="266"/>
      <c r="D1" s="268"/>
      <c r="E1" s="708"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F1" s="708"/>
      <c r="G1" s="708"/>
      <c r="H1" s="708"/>
    </row>
    <row r="2" spans="1:18" ht="12.75" customHeight="1">
      <c r="A2" s="266"/>
      <c r="B2" s="266"/>
      <c r="C2" s="268"/>
      <c r="D2" s="268"/>
      <c r="E2" s="708"/>
      <c r="F2" s="708"/>
      <c r="G2" s="708"/>
      <c r="H2" s="708"/>
    </row>
    <row r="3" spans="1:18" ht="12.75" customHeight="1">
      <c r="A3" s="266"/>
      <c r="B3" s="266"/>
      <c r="C3" s="268"/>
      <c r="D3" s="268"/>
      <c r="E3" s="708"/>
      <c r="F3" s="708"/>
      <c r="G3" s="708"/>
      <c r="H3" s="708"/>
    </row>
    <row r="4" spans="1:18" s="34" customFormat="1" ht="12.75" customHeight="1">
      <c r="A4" s="269"/>
      <c r="B4" s="35" t="str">
        <f>IF('Język - Language'!$B$30="Polski","            Poczta - Mailing reklamowy, emisje stałe","            Email service - Advertising mailing, flat fee emissions")</f>
        <v xml:space="preserve">            Poczta - Mailing reklamowy, emisje stałe</v>
      </c>
      <c r="C4" s="269"/>
      <c r="D4" s="269"/>
      <c r="E4" s="269"/>
      <c r="F4" s="269"/>
      <c r="G4" s="446"/>
      <c r="H4" s="263" t="str">
        <f>IF('Język - Language'!$B$30="Polski","PL","EN")</f>
        <v>PL</v>
      </c>
    </row>
    <row r="5" spans="1:18" ht="12.75" customHeight="1">
      <c r="A5" s="266"/>
      <c r="B5" s="266"/>
      <c r="C5" s="266"/>
      <c r="D5" s="266"/>
      <c r="E5" s="266"/>
      <c r="F5" s="266"/>
      <c r="G5" s="266"/>
      <c r="H5" s="266"/>
    </row>
    <row r="6" spans="1:18" ht="12.75" customHeight="1">
      <c r="A6" s="266"/>
      <c r="B6" s="264"/>
      <c r="C6" s="264"/>
      <c r="D6" s="264"/>
      <c r="E6" s="264"/>
      <c r="F6" s="264"/>
      <c r="G6" s="264"/>
      <c r="H6" s="266"/>
    </row>
    <row r="7" spans="1:18" ht="12.75" customHeight="1">
      <c r="A7" s="264"/>
      <c r="B7" s="976" t="str">
        <f>IF('Język - Language'!$B$30="Polski","MIEJSCE EMISJI","PLACE OF EMISSION")</f>
        <v>MIEJSCE EMISJI</v>
      </c>
      <c r="C7" s="820" t="str">
        <f>IF('Język - Language'!$B$30="Polski","FORMAT GRAFICZNY","ADVERTISING FORMAT
")</f>
        <v>FORMAT GRAFICZNY</v>
      </c>
      <c r="D7" s="297"/>
      <c r="E7" s="1077" t="s">
        <v>45</v>
      </c>
      <c r="F7" s="1077"/>
      <c r="G7" s="1077" t="s">
        <v>46</v>
      </c>
      <c r="H7" s="1078"/>
      <c r="I7" s="266"/>
    </row>
    <row r="8" spans="1:18" ht="12.75" customHeight="1">
      <c r="A8" s="264"/>
      <c r="B8" s="976"/>
      <c r="C8" s="820"/>
      <c r="D8" s="297"/>
      <c r="E8" s="313" t="str">
        <f>IF('Język - Language'!$B$30="Polski","DZIEŃ","DAY")</f>
        <v>DZIEŃ</v>
      </c>
      <c r="F8" s="297" t="str">
        <f>IF('Język - Language'!$B$30="Polski","TYDZIEŃ","WEEK")</f>
        <v>TYDZIEŃ</v>
      </c>
      <c r="G8" s="359" t="s">
        <v>112</v>
      </c>
      <c r="H8" s="314" t="str">
        <f>IF('Język - Language'!$B$30="Polski","TYDZIEŃ","WEEK")</f>
        <v>TYDZIEŃ</v>
      </c>
      <c r="I8" s="50"/>
    </row>
    <row r="9" spans="1:18" ht="25.5" customHeight="1">
      <c r="A9" s="266"/>
      <c r="B9" s="928" t="str">
        <f>IF('Język - Language'!$B$30="Polski","Strona logowania Poczty","Logging in")</f>
        <v>Strona logowania Poczty</v>
      </c>
      <c r="C9" s="812" t="str">
        <f>IF('Język - Language'!$B$30="Polski","Login Box","Login Box")</f>
        <v>Login Box</v>
      </c>
      <c r="D9" s="814"/>
      <c r="E9" s="272" t="s">
        <v>47</v>
      </c>
      <c r="F9" s="272">
        <v>350000</v>
      </c>
      <c r="G9" s="272" t="s">
        <v>47</v>
      </c>
      <c r="H9" s="210">
        <v>100000</v>
      </c>
      <c r="I9" s="266"/>
    </row>
    <row r="10" spans="1:18" s="48" customFormat="1" ht="25.5" customHeight="1">
      <c r="A10" s="266"/>
      <c r="B10" s="928"/>
      <c r="C10" s="777" t="str">
        <f>IF('Język - Language'!$B$30="Polski","Full Page Login Box","Full Page Login Box")</f>
        <v>Full Page Login Box</v>
      </c>
      <c r="D10" s="779"/>
      <c r="E10" s="211" t="s">
        <v>47</v>
      </c>
      <c r="F10" s="212">
        <v>615000</v>
      </c>
      <c r="G10" s="212" t="s">
        <v>47</v>
      </c>
      <c r="H10" s="213">
        <v>150000</v>
      </c>
      <c r="I10" s="266"/>
    </row>
    <row r="11" spans="1:18" s="48" customFormat="1" ht="25.5" customHeight="1">
      <c r="A11" s="266"/>
      <c r="B11" s="920"/>
      <c r="C11" s="1079" t="str">
        <f>IF('Język - Language'!$B$30="Polski","Mobile Login Box","Mobile Login Box")</f>
        <v>Mobile Login Box</v>
      </c>
      <c r="D11" s="1080"/>
      <c r="E11" s="214" t="s">
        <v>47</v>
      </c>
      <c r="F11" s="509">
        <v>240000</v>
      </c>
      <c r="G11" s="509" t="s">
        <v>47</v>
      </c>
      <c r="H11" s="215">
        <v>70000</v>
      </c>
      <c r="I11" s="266"/>
    </row>
    <row r="12" spans="1:18" s="266" customFormat="1" ht="25.5" customHeight="1">
      <c r="B12" s="674" t="s">
        <v>307</v>
      </c>
      <c r="C12" s="812" t="str">
        <f>IF('Język - Language'!$B$30="Polski","Double Billboard/Wideboard¹","Double Billboard/Wideboard¹")</f>
        <v>Double Billboard/Wideboard¹</v>
      </c>
      <c r="D12" s="813"/>
      <c r="E12" s="210">
        <v>140000</v>
      </c>
      <c r="F12" s="272" t="s">
        <v>47</v>
      </c>
      <c r="G12" s="272">
        <v>75000</v>
      </c>
      <c r="H12" s="218" t="s">
        <v>47</v>
      </c>
    </row>
    <row r="13" spans="1:18" s="266" customFormat="1" ht="12.75" customHeight="1">
      <c r="B13" s="919" t="str">
        <f>IF('Język - Language'!$B$30="Polski","Interfejs Poczty","Email service interface")</f>
        <v>Interfejs Poczty</v>
      </c>
      <c r="C13" s="1086" t="s">
        <v>191</v>
      </c>
      <c r="D13" s="490" t="s">
        <v>110</v>
      </c>
      <c r="E13" s="383" t="s">
        <v>47</v>
      </c>
      <c r="F13" s="489">
        <v>190000</v>
      </c>
      <c r="G13" s="489" t="s">
        <v>47</v>
      </c>
      <c r="H13" s="1076">
        <v>80000</v>
      </c>
    </row>
    <row r="14" spans="1:18" s="266" customFormat="1" ht="12.75" customHeight="1">
      <c r="B14" s="928"/>
      <c r="C14" s="1087"/>
      <c r="D14" s="661" t="s">
        <v>111</v>
      </c>
      <c r="E14" s="216" t="s">
        <v>47</v>
      </c>
      <c r="F14" s="176">
        <v>215000</v>
      </c>
      <c r="G14" s="176" t="s">
        <v>47</v>
      </c>
      <c r="H14" s="926"/>
      <c r="I14" s="662"/>
    </row>
    <row r="15" spans="1:18" s="266" customFormat="1" ht="25.5" customHeight="1">
      <c r="B15" s="928"/>
      <c r="C15" s="659" t="s">
        <v>292</v>
      </c>
      <c r="D15" s="661"/>
      <c r="E15" s="212" t="s">
        <v>47</v>
      </c>
      <c r="F15" s="177">
        <v>115000</v>
      </c>
      <c r="G15" s="177" t="s">
        <v>47</v>
      </c>
      <c r="H15" s="660">
        <v>40000</v>
      </c>
      <c r="I15" s="662"/>
    </row>
    <row r="16" spans="1:18" s="52" customFormat="1" ht="25.5" customHeight="1">
      <c r="A16" s="266"/>
      <c r="B16" s="928"/>
      <c r="C16" s="1079" t="str">
        <f>IF('Język - Language'!$B$30="Polski","Panel Premium (desktop)","Panel Premium (desktop)")</f>
        <v>Panel Premium (desktop)</v>
      </c>
      <c r="D16" s="1081"/>
      <c r="E16" s="215">
        <v>110000</v>
      </c>
      <c r="F16" s="214" t="s">
        <v>47</v>
      </c>
      <c r="G16" s="214">
        <v>35000</v>
      </c>
      <c r="H16" s="214" t="s">
        <v>47</v>
      </c>
      <c r="I16" s="266"/>
      <c r="J16" s="266"/>
      <c r="K16" s="266"/>
      <c r="L16" s="266"/>
      <c r="M16" s="266"/>
      <c r="N16" s="266"/>
      <c r="O16" s="266"/>
      <c r="P16" s="266"/>
      <c r="Q16" s="266"/>
      <c r="R16" s="266"/>
    </row>
    <row r="17" spans="1:18" s="47" customFormat="1" ht="25.5" customHeight="1">
      <c r="A17" s="266"/>
      <c r="B17" s="928"/>
      <c r="C17" s="1082" t="str">
        <f>IF('Język - Language'!$B$30="Polski","Left Box 170x200 (górny)","Left Box 170x200 (upper)")</f>
        <v>Left Box 170x200 (górny)</v>
      </c>
      <c r="D17" s="1083"/>
      <c r="E17" s="210" t="s">
        <v>47</v>
      </c>
      <c r="F17" s="216">
        <v>115000</v>
      </c>
      <c r="G17" s="365" t="s">
        <v>47</v>
      </c>
      <c r="H17" s="272">
        <v>90000</v>
      </c>
      <c r="I17" s="266"/>
      <c r="J17" s="266"/>
      <c r="K17" s="266"/>
      <c r="L17" s="266"/>
      <c r="M17" s="266"/>
      <c r="N17" s="266"/>
      <c r="O17" s="266"/>
      <c r="P17" s="266"/>
      <c r="Q17" s="266"/>
      <c r="R17" s="266"/>
    </row>
    <row r="18" spans="1:18" s="47" customFormat="1" ht="25.5" customHeight="1">
      <c r="A18" s="266"/>
      <c r="B18" s="928"/>
      <c r="C18" s="777" t="str">
        <f>IF('Język - Language'!$B$30="Polski","Left Box 170x200 (dolny)","Left Box 170x200 (lower)")</f>
        <v>Left Box 170x200 (dolny)</v>
      </c>
      <c r="D18" s="779"/>
      <c r="E18" s="213" t="s">
        <v>47</v>
      </c>
      <c r="F18" s="272">
        <v>115000</v>
      </c>
      <c r="G18" s="272" t="s">
        <v>47</v>
      </c>
      <c r="H18" s="211">
        <v>90000</v>
      </c>
      <c r="I18" s="266"/>
      <c r="J18" s="266"/>
      <c r="K18" s="266"/>
      <c r="L18" s="266"/>
      <c r="M18" s="266"/>
      <c r="N18" s="266"/>
      <c r="O18" s="266"/>
      <c r="P18" s="266"/>
      <c r="Q18" s="266"/>
      <c r="R18" s="266"/>
    </row>
    <row r="19" spans="1:18" ht="25.5" customHeight="1">
      <c r="A19" s="266"/>
      <c r="B19" s="928"/>
      <c r="C19" s="777" t="s">
        <v>152</v>
      </c>
      <c r="D19" s="779"/>
      <c r="E19" s="212" t="s">
        <v>47</v>
      </c>
      <c r="F19" s="212">
        <v>300000</v>
      </c>
      <c r="G19" s="212" t="s">
        <v>47</v>
      </c>
      <c r="H19" s="212">
        <v>60000</v>
      </c>
      <c r="I19" s="266"/>
      <c r="J19" s="266"/>
      <c r="K19" s="266"/>
      <c r="L19" s="266"/>
      <c r="M19" s="266"/>
      <c r="N19" s="266"/>
      <c r="O19" s="266"/>
      <c r="P19" s="266"/>
      <c r="Q19" s="266"/>
      <c r="R19" s="266"/>
    </row>
    <row r="20" spans="1:18" s="77" customFormat="1" ht="25.5" customHeight="1">
      <c r="A20" s="266"/>
      <c r="B20" s="928"/>
      <c r="C20" s="777" t="s">
        <v>151</v>
      </c>
      <c r="D20" s="779"/>
      <c r="E20" s="212" t="s">
        <v>47</v>
      </c>
      <c r="F20" s="212">
        <v>400000</v>
      </c>
      <c r="G20" s="212" t="s">
        <v>47</v>
      </c>
      <c r="H20" s="212">
        <v>130000</v>
      </c>
      <c r="I20" s="266"/>
      <c r="J20" s="266"/>
      <c r="K20" s="266"/>
      <c r="L20" s="266"/>
      <c r="M20" s="266"/>
      <c r="N20" s="266"/>
      <c r="O20" s="266"/>
      <c r="P20" s="266"/>
      <c r="Q20" s="266"/>
      <c r="R20" s="266"/>
    </row>
    <row r="21" spans="1:18" s="44" customFormat="1" ht="25.5" customHeight="1">
      <c r="A21" s="266"/>
      <c r="B21" s="920"/>
      <c r="C21" s="1079" t="str">
        <f>IF('Język - Language'!$B$30="Polski","Rectangle (podgląd załączników)","Rectangle (in a preview of attachments)")</f>
        <v>Rectangle (podgląd załączników)</v>
      </c>
      <c r="D21" s="1080"/>
      <c r="E21" s="217" t="s">
        <v>47</v>
      </c>
      <c r="F21" s="217">
        <v>75000</v>
      </c>
      <c r="G21" s="217" t="s">
        <v>47</v>
      </c>
      <c r="H21" s="217">
        <v>40000</v>
      </c>
      <c r="I21" s="266"/>
      <c r="J21" s="266"/>
      <c r="K21" s="266"/>
      <c r="L21" s="266"/>
      <c r="M21" s="266"/>
      <c r="N21" s="266"/>
      <c r="O21" s="266"/>
      <c r="P21" s="266"/>
      <c r="Q21" s="266"/>
      <c r="R21" s="266"/>
    </row>
    <row r="22" spans="1:18" s="77" customFormat="1" ht="25.5" customHeight="1">
      <c r="A22" s="266"/>
      <c r="B22" s="190" t="str">
        <f>IF('Język - Language'!$B$30="Polski","Po wylogowaniu z Poczty","After logging out")</f>
        <v>Po wylogowaniu z Poczty</v>
      </c>
      <c r="C22" s="1084" t="s">
        <v>153</v>
      </c>
      <c r="D22" s="1085"/>
      <c r="E22" s="218" t="s">
        <v>47</v>
      </c>
      <c r="F22" s="218">
        <v>425000</v>
      </c>
      <c r="G22" s="218" t="s">
        <v>47</v>
      </c>
      <c r="H22" s="218">
        <v>200000</v>
      </c>
      <c r="I22" s="266"/>
      <c r="J22" s="266"/>
      <c r="K22" s="266"/>
      <c r="L22" s="266"/>
      <c r="M22" s="266"/>
      <c r="N22" s="266"/>
      <c r="O22" s="266"/>
      <c r="P22" s="266"/>
      <c r="Q22" s="266"/>
      <c r="R22" s="266"/>
    </row>
    <row r="23" spans="1:18" ht="12.75" customHeight="1">
      <c r="A23" s="266"/>
      <c r="B23" s="226" t="str">
        <f>IF('Język - Language'!$B$30="Polski","¹ możliwość emisji formatu 970x200, również jako Retail Dniówka, zgodnie z tabelą dopłat","¹ special Retail Daily Emission is available for 970x200 format with extra charge")</f>
        <v>¹ możliwość emisji formatu 970x200, również jako Retail Dniówka, zgodnie z tabelą dopłat</v>
      </c>
      <c r="C23" s="4"/>
      <c r="D23" s="4"/>
      <c r="E23" s="4"/>
      <c r="F23" s="4"/>
      <c r="G23" s="4"/>
      <c r="H23" s="78"/>
      <c r="I23" s="266"/>
      <c r="J23" s="266"/>
      <c r="K23" s="266"/>
      <c r="L23" s="266"/>
      <c r="M23" s="266"/>
      <c r="N23" s="266"/>
      <c r="O23" s="266"/>
      <c r="P23" s="266"/>
      <c r="Q23" s="266"/>
    </row>
    <row r="24" spans="1:18">
      <c r="A24" s="266"/>
      <c r="B24" s="49"/>
      <c r="C24" s="27"/>
      <c r="D24" s="27"/>
      <c r="E24" s="266"/>
      <c r="F24" s="266"/>
      <c r="G24" s="266"/>
      <c r="H24" s="78"/>
      <c r="I24" s="4"/>
      <c r="J24" s="266"/>
      <c r="K24" s="266"/>
      <c r="L24" s="266"/>
      <c r="M24" s="266"/>
      <c r="N24" s="266"/>
      <c r="O24" s="266"/>
      <c r="P24" s="266"/>
      <c r="Q24" s="266"/>
    </row>
    <row r="25" spans="1:18">
      <c r="A25" s="266"/>
      <c r="B25" s="266"/>
      <c r="C25" s="266"/>
      <c r="D25" s="266"/>
      <c r="E25" s="266"/>
      <c r="F25" s="21"/>
      <c r="G25" s="266"/>
      <c r="H25" s="266"/>
      <c r="I25" s="266"/>
      <c r="J25" s="266"/>
      <c r="K25" s="266"/>
      <c r="L25" s="266"/>
      <c r="M25" s="266"/>
      <c r="N25" s="266"/>
      <c r="O25" s="266"/>
      <c r="P25" s="266"/>
      <c r="Q25" s="266"/>
    </row>
    <row r="26" spans="1:18" ht="25.5" customHeight="1">
      <c r="A26" s="264"/>
      <c r="B26" s="330" t="s">
        <v>23</v>
      </c>
      <c r="C26" s="297" t="s">
        <v>48</v>
      </c>
      <c r="D26" s="299" t="s">
        <v>49</v>
      </c>
      <c r="E26" s="93"/>
      <c r="F26" s="709"/>
      <c r="G26" s="709"/>
      <c r="H26" s="709"/>
      <c r="I26" s="709"/>
      <c r="J26" s="266"/>
      <c r="K26" s="711"/>
      <c r="L26" s="711"/>
      <c r="M26" s="711"/>
      <c r="N26" s="711"/>
      <c r="O26" s="711"/>
      <c r="P26" s="711"/>
      <c r="Q26" s="266"/>
    </row>
    <row r="27" spans="1:18" ht="25.5" customHeight="1">
      <c r="A27" s="266"/>
      <c r="B27" s="184" t="str">
        <f>IF('Język - Language'!$B$30="Polski","Mailing HTML 100 kB","Mailing HTML 100 kB")</f>
        <v>Mailing HTML 100 kB</v>
      </c>
      <c r="C27" s="255">
        <v>80</v>
      </c>
      <c r="D27" s="260">
        <v>88</v>
      </c>
      <c r="E27" s="325"/>
      <c r="F27" s="710"/>
      <c r="G27" s="710"/>
      <c r="H27" s="710"/>
      <c r="I27" s="710"/>
      <c r="J27" s="264"/>
      <c r="K27" s="290"/>
      <c r="L27" s="714"/>
      <c r="M27" s="714"/>
      <c r="N27" s="714"/>
      <c r="O27" s="714"/>
      <c r="P27" s="714"/>
      <c r="Q27" s="266"/>
    </row>
    <row r="28" spans="1:18" ht="25.5" customHeight="1">
      <c r="A28" s="266"/>
      <c r="B28" s="185" t="str">
        <f>IF('Język - Language'!$B$30="Polski","Mailing interaktywny²","Interactive Mailing²")</f>
        <v>Mailing interaktywny²</v>
      </c>
      <c r="C28" s="311">
        <v>160</v>
      </c>
      <c r="D28" s="261">
        <v>176</v>
      </c>
      <c r="E28" s="289"/>
      <c r="F28" s="59"/>
      <c r="G28" s="60"/>
      <c r="H28" s="61"/>
      <c r="I28" s="61"/>
      <c r="J28" s="264"/>
      <c r="K28" s="81"/>
      <c r="L28" s="716"/>
      <c r="M28" s="716"/>
      <c r="N28" s="716"/>
      <c r="O28" s="716"/>
      <c r="P28" s="716"/>
      <c r="Q28" s="266"/>
    </row>
    <row r="29" spans="1:18" ht="25.5" customHeight="1">
      <c r="A29" s="266"/>
      <c r="B29" s="1088" t="str">
        <f>IF('Język - Language'!$B$30="Polski",CONCATENATE("¹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zamówieniu)."),CONCATENATE("¹ Mailing advertisements are delivered to users when they receive e-mail from their inbox during the effective period of the mailing service. Mailing advertisements may be aimed at a specific group of recipients by a targeting mechanism."," The waiting time for downloading the sent e-mails from the e-mail server as a standard is 28 days (in case of earlier termination of the mailing service, please include such information in the order)."))</f>
        <v>¹ Mailing jest dostarczany do użytkownika w momencie, gdy po raz pierwszy odbiera on pocztę ze swojej skrzynki, w okresie ważności mailingu. Mailing może być kierowany do konkretnej grupy odbiorców poprzez mechanizm targetowania. Czas oczekiwania wysłanych listów na pobranie z serwera pocztowego wynosi standardowo 28 dni (w razie konieczności wcześniejszego przerwania mailingu prosimy o zawarcie tego w zamówieniu).</v>
      </c>
      <c r="C29" s="1088"/>
      <c r="D29" s="1088"/>
      <c r="E29" s="1088"/>
      <c r="F29" s="1088"/>
      <c r="G29" s="1088"/>
      <c r="H29" s="1088"/>
      <c r="I29" s="1088"/>
      <c r="J29" s="61"/>
      <c r="K29" s="264"/>
      <c r="L29" s="81"/>
      <c r="M29" s="716"/>
      <c r="N29" s="716"/>
      <c r="O29" s="716"/>
      <c r="P29" s="716"/>
      <c r="Q29" s="716"/>
    </row>
    <row r="30" spans="1:18" ht="12.75" customHeight="1">
      <c r="A30" s="266"/>
      <c r="B30" s="1088" t="str">
        <f>IF('Język - Language'!$B$30="Polski","² Minimalna wartość zamówienia to 5 000 zł NN","² Minimal order - 5 000 zł NN")</f>
        <v>² Minimalna wartość zamówienia to 5 000 zł NN</v>
      </c>
      <c r="C30" s="1088"/>
      <c r="D30" s="1088"/>
      <c r="E30" s="1088"/>
      <c r="F30" s="1088"/>
      <c r="G30" s="1088"/>
      <c r="H30" s="1088"/>
      <c r="I30" s="1088"/>
      <c r="J30" s="61"/>
      <c r="K30" s="264"/>
      <c r="L30" s="82"/>
      <c r="M30" s="719"/>
      <c r="N30" s="719"/>
      <c r="O30" s="719"/>
      <c r="P30" s="719"/>
      <c r="Q30" s="719"/>
    </row>
    <row r="31" spans="1:18" s="112" customFormat="1" ht="12.75" customHeight="1">
      <c r="A31" s="266"/>
      <c r="B31" s="293"/>
      <c r="C31" s="293"/>
      <c r="D31" s="293"/>
      <c r="E31" s="293"/>
      <c r="F31" s="293"/>
      <c r="G31" s="293"/>
      <c r="H31" s="293"/>
      <c r="I31" s="293"/>
      <c r="J31" s="61"/>
      <c r="K31" s="264"/>
      <c r="L31" s="82"/>
      <c r="M31" s="294"/>
      <c r="N31" s="294"/>
      <c r="O31" s="294"/>
      <c r="P31" s="294"/>
      <c r="Q31" s="294"/>
    </row>
  </sheetData>
  <mergeCells count="31">
    <mergeCell ref="K26:P26"/>
    <mergeCell ref="M30:Q30"/>
    <mergeCell ref="B30:I30"/>
    <mergeCell ref="L28:P28"/>
    <mergeCell ref="M29:Q29"/>
    <mergeCell ref="B29:I29"/>
    <mergeCell ref="H26:H27"/>
    <mergeCell ref="I26:I27"/>
    <mergeCell ref="L27:P27"/>
    <mergeCell ref="F26:F27"/>
    <mergeCell ref="G26:G27"/>
    <mergeCell ref="C16:D16"/>
    <mergeCell ref="C17:D17"/>
    <mergeCell ref="C22:D22"/>
    <mergeCell ref="B9:B11"/>
    <mergeCell ref="B13:B21"/>
    <mergeCell ref="C13:C14"/>
    <mergeCell ref="C20:D20"/>
    <mergeCell ref="C18:D18"/>
    <mergeCell ref="C19:D19"/>
    <mergeCell ref="C21:D21"/>
    <mergeCell ref="H13:H14"/>
    <mergeCell ref="E1:H3"/>
    <mergeCell ref="G7:H7"/>
    <mergeCell ref="E7:F7"/>
    <mergeCell ref="B7:B8"/>
    <mergeCell ref="C7:C8"/>
    <mergeCell ref="C9:D9"/>
    <mergeCell ref="C10:D10"/>
    <mergeCell ref="C11:D11"/>
    <mergeCell ref="C12:D12"/>
  </mergeCells>
  <pageMargins left="0.7" right="0.7" top="0.75" bottom="0.75" header="0.3" footer="0.3"/>
  <pageSetup paperSize="256" scale="68" fitToHeight="0"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M52"/>
  <sheetViews>
    <sheetView workbookViewId="0">
      <pane ySplit="4" topLeftCell="A23" activePane="bottomLeft" state="frozen"/>
      <selection pane="bottomLeft"/>
    </sheetView>
  </sheetViews>
  <sheetFormatPr defaultColWidth="9.140625" defaultRowHeight="15"/>
  <cols>
    <col min="1" max="2" width="2.85546875" style="479" customWidth="1"/>
    <col min="3" max="3" width="22.28515625" style="479" customWidth="1"/>
    <col min="4" max="9" width="20" style="479" customWidth="1"/>
    <col min="10" max="16384" width="9.140625" style="479"/>
  </cols>
  <sheetData>
    <row r="1" spans="2:12" s="266" customFormat="1" ht="12.75" customHeight="1">
      <c r="B1" s="15" t="s">
        <v>26</v>
      </c>
      <c r="C1" s="15"/>
      <c r="D1" s="15"/>
      <c r="E1" s="15"/>
      <c r="F1" s="708"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G1" s="708"/>
      <c r="H1" s="708"/>
      <c r="I1" s="708"/>
      <c r="J1" s="268"/>
      <c r="K1" s="74"/>
    </row>
    <row r="2" spans="2:12" s="266" customFormat="1" ht="12.75" customHeight="1">
      <c r="F2" s="708"/>
      <c r="G2" s="708"/>
      <c r="H2" s="708"/>
      <c r="I2" s="708"/>
      <c r="J2" s="268"/>
      <c r="K2" s="74"/>
    </row>
    <row r="3" spans="2:12" s="266" customFormat="1" ht="12.75" customHeight="1">
      <c r="F3" s="708"/>
      <c r="G3" s="708"/>
      <c r="H3" s="708"/>
      <c r="I3" s="708"/>
      <c r="J3" s="268"/>
      <c r="K3" s="74"/>
    </row>
    <row r="4" spans="2:12" s="269" customFormat="1" ht="12.75" customHeight="1">
      <c r="B4" s="98"/>
      <c r="C4" s="98" t="str">
        <f>IF('Język - Language'!$B$30="Polski","            Produkty Content Marketingowe","            Content Marketing")</f>
        <v xml:space="preserve">            Produkty Content Marketingowe</v>
      </c>
      <c r="D4" s="75"/>
      <c r="E4" s="75"/>
      <c r="G4" s="263" t="str">
        <f>IF('Język - Language'!$B$30="Polski","PL","EN")</f>
        <v>PL</v>
      </c>
    </row>
    <row r="5" spans="2:12" ht="12.75" customHeight="1"/>
    <row r="6" spans="2:12" ht="12.75" customHeight="1"/>
    <row r="7" spans="2:12" s="266" customFormat="1" ht="12.75">
      <c r="C7" s="286" t="s">
        <v>88</v>
      </c>
    </row>
    <row r="8" spans="2:12" s="266" customFormat="1" ht="12.75" customHeight="1">
      <c r="B8" s="24"/>
      <c r="C8" s="976" t="s">
        <v>89</v>
      </c>
      <c r="D8" s="820" t="str">
        <f>IF('Język - Language'!$B$30="Polski","ARTYKUŁ SPONSOROWANY Z GWARANCJĄ","ADVERTORIAL WITH A GUARANTEE")</f>
        <v>ARTYKUŁ SPONSOROWANY Z GWARANCJĄ</v>
      </c>
      <c r="E8" s="820"/>
      <c r="F8" s="820" t="str">
        <f>IF('Język - Language'!$B$30="Polski","ARTYKUŁ SPONSOROWANY","ADVERTORIAL")</f>
        <v>ARTYKUŁ SPONSOROWANY</v>
      </c>
      <c r="G8" s="820"/>
      <c r="H8" s="1106" t="str">
        <f>IF('Język - Language'!$B$30="Polski","ARTYKUŁ SPONSOROWANY LOKALNY","LOCAL ADVERTORIAL")</f>
        <v>ARTYKUŁ SPONSOROWANY LOKALNY</v>
      </c>
      <c r="I8" s="1107"/>
    </row>
    <row r="9" spans="2:12" s="266" customFormat="1" ht="12.75" customHeight="1">
      <c r="B9" s="24"/>
      <c r="C9" s="976"/>
      <c r="D9" s="820"/>
      <c r="E9" s="820"/>
      <c r="F9" s="820"/>
      <c r="G9" s="820"/>
      <c r="H9" s="1106"/>
      <c r="I9" s="1107"/>
    </row>
    <row r="10" spans="2:12" s="266" customFormat="1" ht="12.75" customHeight="1">
      <c r="B10" s="264"/>
      <c r="C10" s="976"/>
      <c r="D10" s="820" t="str">
        <f>IF('Język - Language'!$B$30="Polski","Flat Fee 7 dni / net net","Flat Fee 7 days / net net")</f>
        <v>Flat Fee 7 dni / net net</v>
      </c>
      <c r="E10" s="820"/>
      <c r="F10" s="820" t="str">
        <f>IF('Język - Language'!$B$30="Polski","Flat Fee 7 dni / net net","Flat Fee 7 days / net net")</f>
        <v>Flat Fee 7 dni / net net</v>
      </c>
      <c r="G10" s="820"/>
      <c r="H10" s="1106" t="str">
        <f>IF('Język - Language'!$B$30="Polski","Flat Fee 7 dni / net net","Flat Fee 7 days / net net")</f>
        <v>Flat Fee 7 dni / net net</v>
      </c>
      <c r="I10" s="1107"/>
    </row>
    <row r="11" spans="2:12" s="266" customFormat="1" ht="25.5" customHeight="1">
      <c r="B11" s="1089" t="str">
        <f>IF('Język - Language'!$B$30="Polski","FLAT FEE","FLAT FEE")</f>
        <v>FLAT FEE</v>
      </c>
      <c r="C11" s="589" t="s">
        <v>90</v>
      </c>
      <c r="D11" s="1091" t="s">
        <v>97</v>
      </c>
      <c r="E11" s="1092"/>
      <c r="F11" s="1100" t="s">
        <v>96</v>
      </c>
      <c r="G11" s="1101"/>
      <c r="H11" s="1108" t="str">
        <f>IF('Język - Language'!$B$30="Polski","nd","n/a")</f>
        <v>nd</v>
      </c>
      <c r="I11" s="1109"/>
    </row>
    <row r="12" spans="2:12" s="266" customFormat="1" ht="25.5" customHeight="1">
      <c r="B12" s="1089"/>
      <c r="C12" s="588" t="s">
        <v>91</v>
      </c>
      <c r="D12" s="1091" t="s">
        <v>98</v>
      </c>
      <c r="E12" s="1092"/>
      <c r="F12" s="1100"/>
      <c r="G12" s="1101"/>
      <c r="H12" s="1108"/>
      <c r="I12" s="1109"/>
    </row>
    <row r="13" spans="2:12" s="266" customFormat="1" ht="25.5" customHeight="1">
      <c r="B13" s="1089"/>
      <c r="C13" s="588" t="s">
        <v>92</v>
      </c>
      <c r="D13" s="1091" t="s">
        <v>99</v>
      </c>
      <c r="E13" s="1092"/>
      <c r="F13" s="1100"/>
      <c r="G13" s="1101"/>
      <c r="H13" s="1108"/>
      <c r="I13" s="1109"/>
    </row>
    <row r="14" spans="2:12" s="266" customFormat="1" ht="25.5" customHeight="1">
      <c r="B14" s="1089"/>
      <c r="C14" s="195" t="s">
        <v>93</v>
      </c>
      <c r="D14" s="1091" t="s">
        <v>100</v>
      </c>
      <c r="E14" s="1092"/>
      <c r="F14" s="1102"/>
      <c r="G14" s="1103"/>
      <c r="H14" s="1110"/>
      <c r="I14" s="1111"/>
    </row>
    <row r="15" spans="2:12" s="266" customFormat="1" ht="25.5" customHeight="1">
      <c r="B15" s="1090"/>
      <c r="C15" s="196" t="s">
        <v>94</v>
      </c>
      <c r="D15" s="1093" t="str">
        <f>IF('Język - Language'!$B$30="Polski","nd","n/a")</f>
        <v>nd</v>
      </c>
      <c r="E15" s="1094"/>
      <c r="F15" s="1104" t="s">
        <v>95</v>
      </c>
      <c r="G15" s="1105"/>
      <c r="H15" s="1112">
        <v>2000</v>
      </c>
      <c r="I15" s="1113"/>
    </row>
    <row r="16" spans="2:12" s="266" customFormat="1" ht="12.75" customHeight="1">
      <c r="B16" s="264"/>
      <c r="C16" s="199"/>
      <c r="D16" s="342"/>
      <c r="E16" s="342"/>
      <c r="F16" s="206"/>
      <c r="G16" s="206"/>
      <c r="H16" s="205"/>
      <c r="I16" s="205"/>
      <c r="J16" s="205"/>
      <c r="L16" s="595"/>
    </row>
    <row r="17" spans="2:13" s="266" customFormat="1" ht="12.75" customHeight="1">
      <c r="B17" s="264"/>
      <c r="C17" s="199"/>
      <c r="D17" s="342"/>
      <c r="E17" s="342"/>
      <c r="F17" s="206"/>
      <c r="G17" s="206"/>
      <c r="H17" s="205"/>
      <c r="I17" s="205"/>
      <c r="J17" s="205"/>
      <c r="L17" s="595"/>
    </row>
    <row r="18" spans="2:13" s="266" customFormat="1" ht="12.75" customHeight="1">
      <c r="B18" s="264"/>
      <c r="C18" s="197" t="str">
        <f>IF('Język - Language'!$B$30="Polski","ARTYKUŁ SPONSOROWANY LOKALNY - OPCJE DODATKOWE / DOPŁATY DO CENY PODSTAWOWEJ:","ADDITIONAL OPTIONS / EXTRA CHARGES TO BASIC PRICE:")</f>
        <v>ARTYKUŁ SPONSOROWANY LOKALNY - OPCJE DODATKOWE / DOPŁATY DO CENY PODSTAWOWEJ:</v>
      </c>
      <c r="D18" s="342"/>
      <c r="E18" s="342"/>
      <c r="F18" s="206"/>
      <c r="G18" s="206"/>
      <c r="H18" s="205"/>
      <c r="I18" s="205"/>
      <c r="J18" s="205"/>
      <c r="L18" s="595"/>
    </row>
    <row r="19" spans="2:13" s="266" customFormat="1" ht="25.5" customHeight="1">
      <c r="B19" s="24"/>
      <c r="C19" s="993" t="str">
        <f>IF('Język - Language'!$B$30="Polski","WOJEWÓDZTWO","PROVINCE")</f>
        <v>WOJEWÓDZTWO</v>
      </c>
      <c r="D19" s="1001" t="str">
        <f>IF('Język - Language'!$B$30="Polski","GEOTARGETOWANY LINK TEKSTOWY NA SG WP¹","TEXTUAL LINK WITH GEOTARGETING IN THE WP HP¹")</f>
        <v>GEOTARGETOWANY LINK TEKSTOWY NA SG WP¹</v>
      </c>
      <c r="E19" s="1001"/>
      <c r="F19" s="821" t="str">
        <f>IF('Język - Language'!$B$30="Polski","GEOBOX NA SG WP¹","GEOBOX IN THE WP HP¹")</f>
        <v>GEOBOX NA SG WP¹</v>
      </c>
      <c r="G19" s="1095"/>
      <c r="H19" s="205"/>
      <c r="I19" s="205"/>
      <c r="J19" s="205"/>
      <c r="L19" s="595"/>
    </row>
    <row r="20" spans="2:13" s="266" customFormat="1" ht="24.75" customHeight="1">
      <c r="B20" s="264"/>
      <c r="C20" s="976"/>
      <c r="D20" s="590" t="str">
        <f>IF('Język - Language'!$B$30="Polski","MODUŁ WIADOMOŚCI","CATEGORY NEWS")</f>
        <v>MODUŁ WIADOMOŚCI</v>
      </c>
      <c r="E20" s="598" t="str">
        <f>IF('Język - Language'!$B$30="Polski","MODUŁ SPORT","CATEGORY SPORT")</f>
        <v>MODUŁ SPORT</v>
      </c>
      <c r="F20" s="601" t="str">
        <f>IF('Język - Language'!$B$30="Polski","MODUŁ GWIAZDY","CATEGORY STARS")</f>
        <v>MODUŁ GWIAZDY</v>
      </c>
      <c r="G20" s="600" t="str">
        <f>IF('Język - Language'!$B$30="Polski","MODUŁ  MOTO, TECH, STYL ŻYCIA","CATEGORY AUTOMOTIVE, TECH, LIFESTYLE")</f>
        <v>MODUŁ  MOTO, TECH, STYL ŻYCIA</v>
      </c>
      <c r="H20" s="205"/>
      <c r="I20" s="205"/>
      <c r="J20" s="205"/>
      <c r="L20" s="595"/>
    </row>
    <row r="21" spans="2:13" s="266" customFormat="1" ht="12.75" customHeight="1">
      <c r="B21" s="264"/>
      <c r="C21" s="597"/>
      <c r="D21" s="942" t="str">
        <f>IF('Język - Language'!$B$30="Polski","Flat Fee 1 dzień / net net","Flat Fee 1 day / net net")</f>
        <v>Flat Fee 1 dzień / net net</v>
      </c>
      <c r="E21" s="942"/>
      <c r="F21" s="942" t="str">
        <f>IF('Język - Language'!$B$30="Polski","Flat Fee 7 dni / net net","Flat Fee 7 days / net net")</f>
        <v>Flat Fee 7 dni / net net</v>
      </c>
      <c r="G21" s="947"/>
      <c r="H21" s="205"/>
      <c r="I21" s="205"/>
      <c r="J21" s="205"/>
      <c r="L21" s="595"/>
    </row>
    <row r="22" spans="2:13" s="266" customFormat="1" ht="25.5" customHeight="1">
      <c r="B22" s="1089" t="s">
        <v>52</v>
      </c>
      <c r="C22" s="208" t="s">
        <v>54</v>
      </c>
      <c r="D22" s="619">
        <v>4500</v>
      </c>
      <c r="E22" s="620">
        <v>3500</v>
      </c>
      <c r="F22" s="625">
        <v>2500</v>
      </c>
      <c r="G22" s="620">
        <v>1500</v>
      </c>
      <c r="H22" s="205"/>
      <c r="I22" s="205"/>
      <c r="J22" s="205"/>
      <c r="L22" s="595"/>
    </row>
    <row r="23" spans="2:13" s="266" customFormat="1" ht="38.25" customHeight="1">
      <c r="B23" s="1089"/>
      <c r="C23" s="354" t="s">
        <v>55</v>
      </c>
      <c r="D23" s="621">
        <v>2000</v>
      </c>
      <c r="E23" s="622">
        <v>1500</v>
      </c>
      <c r="F23" s="626">
        <v>1500</v>
      </c>
      <c r="G23" s="622">
        <v>1000</v>
      </c>
      <c r="H23" s="205"/>
      <c r="I23" s="205"/>
      <c r="J23" s="205"/>
      <c r="L23" s="595"/>
    </row>
    <row r="24" spans="2:13" s="266" customFormat="1" ht="25.5" customHeight="1">
      <c r="B24" s="1089"/>
      <c r="C24" s="195" t="s">
        <v>56</v>
      </c>
      <c r="D24" s="621">
        <v>1500</v>
      </c>
      <c r="E24" s="622">
        <v>1300</v>
      </c>
      <c r="F24" s="626">
        <v>1000</v>
      </c>
      <c r="G24" s="622">
        <v>700</v>
      </c>
      <c r="H24" s="205"/>
      <c r="I24" s="205"/>
      <c r="J24" s="205"/>
      <c r="L24" s="595"/>
    </row>
    <row r="25" spans="2:13" s="266" customFormat="1" ht="38.25" customHeight="1">
      <c r="B25" s="1089"/>
      <c r="C25" s="354" t="s">
        <v>57</v>
      </c>
      <c r="D25" s="621">
        <v>1000</v>
      </c>
      <c r="E25" s="622">
        <v>700</v>
      </c>
      <c r="F25" s="626">
        <v>1000</v>
      </c>
      <c r="G25" s="622">
        <v>700</v>
      </c>
      <c r="H25" s="205"/>
      <c r="I25" s="205"/>
      <c r="J25" s="205"/>
      <c r="L25" s="595"/>
    </row>
    <row r="26" spans="2:13" s="266" customFormat="1" ht="38.25" customHeight="1">
      <c r="B26" s="1089"/>
      <c r="C26" s="355" t="s">
        <v>58</v>
      </c>
      <c r="D26" s="623">
        <v>700</v>
      </c>
      <c r="E26" s="624">
        <v>500</v>
      </c>
      <c r="F26" s="627">
        <v>500</v>
      </c>
      <c r="G26" s="628">
        <v>500</v>
      </c>
      <c r="H26" s="205"/>
      <c r="I26" s="205"/>
      <c r="J26" s="205"/>
      <c r="L26" s="595"/>
    </row>
    <row r="27" spans="2:13" s="266" customFormat="1" ht="12.75">
      <c r="C27" s="199" t="str">
        <f>IF('Język - Language'!$B$30="Polski","¹ wycena net-net, ceny dla 1 województwa","¹ net-net valuation, prices for 1 province")</f>
        <v>¹ wycena net-net, ceny dla 1 województwa</v>
      </c>
      <c r="D27" s="199"/>
      <c r="E27" s="599"/>
      <c r="F27" s="599"/>
      <c r="G27" s="599"/>
      <c r="H27" s="599"/>
      <c r="I27" s="599"/>
      <c r="J27" s="283"/>
      <c r="M27" s="595"/>
    </row>
    <row r="28" spans="2:13" s="266" customFormat="1" ht="12.75">
      <c r="C28" s="199"/>
      <c r="D28" s="199"/>
      <c r="E28" s="608"/>
      <c r="F28" s="608"/>
      <c r="G28" s="608"/>
      <c r="H28" s="608"/>
      <c r="I28" s="608"/>
      <c r="J28" s="283"/>
      <c r="M28" s="595"/>
    </row>
    <row r="29" spans="2:13" s="266" customFormat="1" ht="12.75">
      <c r="C29" s="199"/>
      <c r="D29" s="199"/>
      <c r="E29" s="599"/>
      <c r="F29" s="599"/>
      <c r="G29" s="599"/>
      <c r="H29" s="599"/>
      <c r="I29" s="599"/>
      <c r="J29" s="283"/>
      <c r="M29" s="595"/>
    </row>
    <row r="30" spans="2:13" s="266" customFormat="1" ht="12.75" customHeight="1">
      <c r="B30" s="264"/>
      <c r="C30" s="351" t="s">
        <v>101</v>
      </c>
      <c r="D30" s="342"/>
      <c r="E30" s="342"/>
      <c r="F30" s="206"/>
      <c r="G30" s="206"/>
      <c r="H30" s="205"/>
      <c r="I30" s="205"/>
      <c r="J30" s="205"/>
      <c r="L30" s="595"/>
    </row>
    <row r="31" spans="2:13" s="266" customFormat="1" ht="12.75" customHeight="1">
      <c r="B31" s="24"/>
      <c r="C31" s="1096" t="str">
        <f>IF('Język - Language'!$B$30="Polski","LICZBA ARTYKUŁÓW","NUMBER OF ARTICLES")</f>
        <v>LICZBA ARTYKUŁÓW</v>
      </c>
      <c r="D31" s="821" t="str">
        <f>IF('Język - Language'!$B$30="Polski","PRÓG #1","OPTION #1")</f>
        <v>PRÓG #1</v>
      </c>
      <c r="E31" s="821"/>
      <c r="F31" s="821" t="str">
        <f>IF('Język - Language'!$B$30="Polski","PRÓG #2","OPTION #2")</f>
        <v>PRÓG #2</v>
      </c>
      <c r="G31" s="1095"/>
    </row>
    <row r="32" spans="2:13" s="266" customFormat="1" ht="12.75" customHeight="1">
      <c r="B32" s="24"/>
      <c r="C32" s="1097"/>
      <c r="D32" s="594" t="str">
        <f>IF('Język - Language'!$B$30="Polski","ZASIĘG","REACH")</f>
        <v>ZASIĘG</v>
      </c>
      <c r="E32" s="341" t="str">
        <f>IF('Język - Language'!$B$30="Polski","Flat Fee 7 dni / net net","Flat Fee 7 days / net net")</f>
        <v>Flat Fee 7 dni / net net</v>
      </c>
      <c r="F32" s="605" t="str">
        <f>IF('Język - Language'!$B$30="Polski","ZASIĘG","REACH")</f>
        <v>ZASIĘG</v>
      </c>
      <c r="G32" s="606" t="str">
        <f>IF('Język - Language'!$B$30="Polski","Flat Fee 7 dni / net net","Flat Fee 7 days / net net")</f>
        <v>Flat Fee 7 dni / net net</v>
      </c>
    </row>
    <row r="33" spans="2:13" s="266" customFormat="1" ht="25.5" customHeight="1">
      <c r="B33" s="1089" t="str">
        <f>IF('Język - Language'!$B$30="Polski","FLAT FEE","FLAT FEE")</f>
        <v>FLAT FEE</v>
      </c>
      <c r="C33" s="331">
        <v>1</v>
      </c>
      <c r="D33" s="348" t="s">
        <v>73</v>
      </c>
      <c r="E33" s="629">
        <v>12000</v>
      </c>
      <c r="F33" s="607" t="s">
        <v>77</v>
      </c>
      <c r="G33" s="620">
        <v>15000</v>
      </c>
    </row>
    <row r="34" spans="2:13" s="266" customFormat="1" ht="25.5" customHeight="1">
      <c r="B34" s="1089"/>
      <c r="C34" s="332">
        <v>2</v>
      </c>
      <c r="D34" s="592" t="s">
        <v>74</v>
      </c>
      <c r="E34" s="622">
        <v>22800</v>
      </c>
      <c r="F34" s="604" t="s">
        <v>78</v>
      </c>
      <c r="G34" s="622">
        <v>28500</v>
      </c>
    </row>
    <row r="35" spans="2:13" s="266" customFormat="1" ht="25.5" customHeight="1">
      <c r="B35" s="1089"/>
      <c r="C35" s="333">
        <v>3</v>
      </c>
      <c r="D35" s="592" t="s">
        <v>75</v>
      </c>
      <c r="E35" s="622">
        <v>32400</v>
      </c>
      <c r="F35" s="604" t="s">
        <v>79</v>
      </c>
      <c r="G35" s="622">
        <v>40500</v>
      </c>
    </row>
    <row r="36" spans="2:13" s="266" customFormat="1" ht="25.5" customHeight="1">
      <c r="B36" s="1090"/>
      <c r="C36" s="596">
        <v>4</v>
      </c>
      <c r="D36" s="593" t="s">
        <v>76</v>
      </c>
      <c r="E36" s="624">
        <v>40800</v>
      </c>
      <c r="F36" s="603" t="s">
        <v>80</v>
      </c>
      <c r="G36" s="624">
        <v>51000</v>
      </c>
    </row>
    <row r="37" spans="2:13" s="266" customFormat="1" ht="12.75" customHeight="1">
      <c r="B37" s="264"/>
      <c r="C37" s="204"/>
      <c r="D37" s="342"/>
      <c r="E37" s="342"/>
      <c r="F37" s="206"/>
      <c r="G37" s="206"/>
      <c r="H37" s="205"/>
      <c r="I37" s="205"/>
      <c r="J37" s="205"/>
      <c r="L37" s="595"/>
    </row>
    <row r="38" spans="2:13" s="266" customFormat="1" ht="12.75" customHeight="1">
      <c r="B38" s="264"/>
      <c r="C38" s="204"/>
      <c r="D38" s="342"/>
      <c r="E38" s="342"/>
      <c r="F38" s="206"/>
      <c r="G38" s="206"/>
      <c r="H38" s="205"/>
      <c r="I38" s="205"/>
      <c r="J38" s="205"/>
      <c r="L38" s="595"/>
    </row>
    <row r="39" spans="2:13" s="266" customFormat="1" ht="12.75" customHeight="1">
      <c r="B39" s="264"/>
      <c r="C39" s="352" t="s">
        <v>109</v>
      </c>
      <c r="D39" s="342"/>
      <c r="E39" s="342"/>
      <c r="F39" s="206"/>
      <c r="G39" s="206"/>
      <c r="H39" s="205"/>
      <c r="I39" s="205"/>
      <c r="J39" s="205"/>
      <c r="L39" s="595"/>
    </row>
    <row r="40" spans="2:13" s="266" customFormat="1" ht="25.5" customHeight="1">
      <c r="B40" s="264"/>
      <c r="C40" s="976" t="str">
        <f>IF('Język - Language'!$B$30="Polski","MIEJSCE EMISJI","PLACE OF EMISSION")</f>
        <v>MIEJSCE EMISJI</v>
      </c>
      <c r="D40" s="820" t="s">
        <v>104</v>
      </c>
      <c r="E40" s="820"/>
      <c r="F40" s="820" t="s">
        <v>102</v>
      </c>
      <c r="G40" s="825"/>
      <c r="H40" s="595"/>
    </row>
    <row r="41" spans="2:13" s="266" customFormat="1" ht="12.75" customHeight="1">
      <c r="B41" s="264"/>
      <c r="C41" s="976"/>
      <c r="D41" s="820" t="s">
        <v>105</v>
      </c>
      <c r="E41" s="820"/>
      <c r="F41" s="820" t="s">
        <v>107</v>
      </c>
      <c r="G41" s="825"/>
      <c r="H41" s="595"/>
    </row>
    <row r="42" spans="2:13" s="266" customFormat="1" ht="38.25" customHeight="1">
      <c r="B42" s="591" t="s">
        <v>52</v>
      </c>
      <c r="C42" s="196" t="s">
        <v>246</v>
      </c>
      <c r="D42" s="1098" t="s">
        <v>106</v>
      </c>
      <c r="E42" s="1099"/>
      <c r="F42" s="1098" t="s">
        <v>108</v>
      </c>
      <c r="G42" s="1099"/>
      <c r="H42" s="595"/>
    </row>
    <row r="43" spans="2:13" s="266" customFormat="1" ht="12.75" customHeight="1">
      <c r="B43" s="264"/>
      <c r="C43" s="199" t="str">
        <f>IF('Język - Language'!$B$30="Polski","¹ zasięg 15 000 UU","¹ reach 15 000 UU")</f>
        <v>¹ zasięg 15 000 UU</v>
      </c>
      <c r="D43" s="342"/>
      <c r="E43" s="342"/>
      <c r="F43" s="206"/>
      <c r="G43" s="206"/>
      <c r="H43" s="205"/>
      <c r="I43" s="205"/>
      <c r="J43" s="205"/>
      <c r="L43" s="595"/>
    </row>
    <row r="44" spans="2:13" s="266" customFormat="1" ht="12.75" customHeight="1">
      <c r="C44" s="182"/>
      <c r="D44" s="182"/>
      <c r="E44" s="182"/>
      <c r="F44" s="182"/>
      <c r="G44" s="182"/>
      <c r="H44" s="182"/>
      <c r="I44" s="182"/>
      <c r="J44" s="182"/>
      <c r="M44" s="479"/>
    </row>
    <row r="45" spans="2:13" s="266" customFormat="1" ht="12.75" customHeight="1">
      <c r="C45" s="197" t="str">
        <f>IF('Język - Language'!$B$30="Polski","INFORMACJE DODATKOWE: ","FURTHER INFORMATION: ")</f>
        <v xml:space="preserve">INFORMACJE DODATKOWE: </v>
      </c>
      <c r="D45" s="197"/>
      <c r="E45" s="599"/>
      <c r="F45" s="599"/>
      <c r="G45" s="599"/>
      <c r="H45" s="599"/>
      <c r="I45" s="599"/>
      <c r="J45" s="181" t="s">
        <v>26</v>
      </c>
      <c r="M45" s="479"/>
    </row>
    <row r="46" spans="2:13" s="266" customFormat="1" ht="12.75" customHeight="1">
      <c r="C46" s="599" t="str">
        <f>IF('Język - Language'!$B$30="Polski","• Artykuł sponsorowany z gwarancją jest promowany do osiągnięcia gwarantowanego zasięgu (max. 14 dni) z wykorzystaniem powierzchni serwisu oraz na SG WP.","• A standard sponsored article includes weekly editorial preview in the HP of a given site in which the article is placed.")</f>
        <v>• Artykuł sponsorowany z gwarancją jest promowany do osiągnięcia gwarantowanego zasięgu (max. 14 dni) z wykorzystaniem powierzchni serwisu oraz na SG WP.</v>
      </c>
      <c r="D46" s="181"/>
      <c r="E46" s="181"/>
      <c r="F46" s="181"/>
      <c r="G46" s="181"/>
      <c r="H46" s="181"/>
      <c r="I46" s="181"/>
      <c r="J46" s="181"/>
      <c r="M46" s="479"/>
    </row>
    <row r="47" spans="2:13" s="266" customFormat="1" ht="12.75" customHeight="1">
      <c r="C47" s="198" t="s">
        <v>144</v>
      </c>
      <c r="D47" s="380"/>
      <c r="E47" s="380"/>
      <c r="F47" s="380"/>
      <c r="G47" s="380"/>
      <c r="H47" s="380"/>
      <c r="I47" s="380"/>
      <c r="J47" s="380"/>
      <c r="M47" s="479"/>
    </row>
    <row r="48" spans="2:13" s="266" customFormat="1">
      <c r="C48" s="283" t="str">
        <f>IF('Język - Language'!$B$30="Polski","• Istnieje możliwość emisji video oraz brandingu w ramach artykułu sponsorowanego lub plotki sponsorowanej (wycena ustalana indywidualnie).","• Addiotionally, you can add video or branding to the article. For price please contact the Advertising Office of WP.")</f>
        <v>• Istnieje możliwość emisji video oraz brandingu w ramach artykułu sponsorowanego lub plotki sponsorowanej (wycena ustalana indywidualnie).</v>
      </c>
      <c r="D48" s="283"/>
      <c r="E48" s="599"/>
      <c r="F48" s="599"/>
      <c r="G48" s="599"/>
      <c r="H48" s="599"/>
      <c r="I48" s="599"/>
      <c r="J48" s="283"/>
      <c r="M48" s="479"/>
    </row>
    <row r="49" spans="3:13" s="266" customFormat="1">
      <c r="C49" s="283"/>
      <c r="D49" s="283"/>
      <c r="E49" s="599"/>
      <c r="F49" s="599"/>
      <c r="G49" s="599"/>
      <c r="H49" s="599"/>
      <c r="I49" s="599"/>
      <c r="J49" s="283"/>
      <c r="M49" s="479"/>
    </row>
    <row r="50" spans="3:13" s="266" customFormat="1">
      <c r="C50" s="197" t="str">
        <f>IF('Język - Language'!$B$30="Polski","ARTYKUŁ SPONSOROWANY - OPCJE DODATKOWE (bez dopłat):","ADDITIONAL OPTIONS:")</f>
        <v>ARTYKUŁ SPONSOROWANY - OPCJE DODATKOWE (bez dopłat):</v>
      </c>
      <c r="D50" s="283"/>
      <c r="E50" s="599"/>
      <c r="F50" s="599"/>
      <c r="G50" s="599"/>
      <c r="H50" s="599"/>
      <c r="I50" s="599"/>
      <c r="J50" s="283"/>
      <c r="M50" s="479"/>
    </row>
    <row r="51" spans="3:13" s="266" customFormat="1">
      <c r="C51" s="283" t="str">
        <f>IF('Język - Language'!$B$30="Polski","• Możliwość umieszczenia multimediów w artykule ","• It is possible to place multimedia in an article")</f>
        <v xml:space="preserve">• Możliwość umieszczenia multimediów w artykule </v>
      </c>
      <c r="D51" s="283"/>
      <c r="E51" s="599"/>
      <c r="F51" s="599"/>
      <c r="G51" s="599"/>
      <c r="H51" s="599"/>
      <c r="I51" s="599"/>
      <c r="J51" s="283"/>
      <c r="M51" s="479"/>
    </row>
    <row r="52" spans="3:13" s="266" customFormat="1">
      <c r="C52" s="198" t="str">
        <f>IF('Język - Language'!$B$30="Polski","• Branding artykułu (screening desktop i górny banner mobile)","• Branding (desktop screening &amp; upper mobile banner)")</f>
        <v>• Branding artykułu (screening desktop i górny banner mobile)</v>
      </c>
      <c r="D52" s="283"/>
      <c r="E52" s="599"/>
      <c r="F52" s="599"/>
      <c r="G52" s="599"/>
      <c r="H52" s="599"/>
      <c r="I52" s="599"/>
      <c r="J52" s="283"/>
      <c r="M52" s="479"/>
    </row>
  </sheetData>
  <mergeCells count="35">
    <mergeCell ref="F11:G14"/>
    <mergeCell ref="F15:G15"/>
    <mergeCell ref="H8:I9"/>
    <mergeCell ref="H10:I10"/>
    <mergeCell ref="H11:I14"/>
    <mergeCell ref="H15:I15"/>
    <mergeCell ref="C31:C32"/>
    <mergeCell ref="D31:E31"/>
    <mergeCell ref="F31:G31"/>
    <mergeCell ref="D42:E42"/>
    <mergeCell ref="B33:B36"/>
    <mergeCell ref="F40:G40"/>
    <mergeCell ref="F41:G41"/>
    <mergeCell ref="F42:G42"/>
    <mergeCell ref="C40:C41"/>
    <mergeCell ref="D40:E40"/>
    <mergeCell ref="D41:E41"/>
    <mergeCell ref="F19:G19"/>
    <mergeCell ref="F21:G21"/>
    <mergeCell ref="C19:C20"/>
    <mergeCell ref="D19:E19"/>
    <mergeCell ref="B22:B26"/>
    <mergeCell ref="D21:E21"/>
    <mergeCell ref="B11:B15"/>
    <mergeCell ref="D11:E11"/>
    <mergeCell ref="D12:E12"/>
    <mergeCell ref="D13:E13"/>
    <mergeCell ref="D14:E14"/>
    <mergeCell ref="D15:E15"/>
    <mergeCell ref="C8:C10"/>
    <mergeCell ref="D8:E9"/>
    <mergeCell ref="D10:E10"/>
    <mergeCell ref="F10:G10"/>
    <mergeCell ref="F1:I3"/>
    <mergeCell ref="F8:G9"/>
  </mergeCells>
  <pageMargins left="0.7" right="0.7" top="0.75" bottom="0.75" header="0.3" footer="0.3"/>
  <pageSetup paperSize="9" orientation="portrait" horizontalDpi="1200" verticalDpi="1200" r:id="rId1"/>
  <ignoredErrors>
    <ignoredError sqref="E32"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10">
    <pageSetUpPr fitToPage="1"/>
  </sheetPr>
  <dimension ref="A1:AA90"/>
  <sheetViews>
    <sheetView zoomScaleNormal="100" workbookViewId="0">
      <pane ySplit="4" topLeftCell="A5" activePane="bottomLeft" state="frozen"/>
      <selection pane="bottomLeft"/>
    </sheetView>
  </sheetViews>
  <sheetFormatPr defaultColWidth="11.42578125" defaultRowHeight="12.75"/>
  <cols>
    <col min="1" max="1" width="5.5703125" style="63" customWidth="1"/>
    <col min="2" max="2" width="20.42578125" style="63" customWidth="1"/>
    <col min="3" max="3" width="70.85546875" style="63" customWidth="1"/>
    <col min="4" max="4" width="43.85546875" style="63" customWidth="1"/>
    <col min="5" max="5" width="5.42578125" style="63" customWidth="1"/>
    <col min="6" max="6" width="33.42578125" style="63" customWidth="1"/>
    <col min="7" max="16384" width="11.42578125" style="63"/>
  </cols>
  <sheetData>
    <row r="1" spans="1:12" ht="12.75" customHeight="1">
      <c r="A1" s="99"/>
      <c r="B1" s="99"/>
      <c r="C1" s="708" t="str">
        <f>IF('Język - Language'!$B$30="Polski",CONCATENATE("Cennik Reklamowy Wirtualna Polska Media S.A. - obowiązuje od 1.11.2019 r.",CHAR(10),"W celu zasięgnięcia dodatkowych informacji prosimy o kontakt z Biurem Reklamy,",CHAR(10),"reklama@grupawp.pl, tel. (+48) 22 57 63 900; fax (+48) 22 57 63 959"),CONCATENATE("Advertising price list of Wirtualna Polska Media S.A. - valid from November 1, 2019",CHAR(10),"For further information please contact the Advertising Office of WP,",CHAR(10),"reklama@grupawp.pl, phone (+48) 22 57 63 900; fax (+48) 22 57 63 959"))</f>
        <v>Cennik Reklamowy Wirtualna Polska Media S.A. - obowiązuje od 1.11.2019 r.
W celu zasięgnięcia dodatkowych informacji prosimy o kontakt z Biurem Reklamy,
reklama@grupawp.pl, tel. (+48) 22 57 63 900; fax (+48) 22 57 63 959</v>
      </c>
      <c r="D1" s="708"/>
      <c r="E1" s="68"/>
      <c r="F1" s="68"/>
      <c r="G1" s="266"/>
      <c r="H1" s="266"/>
      <c r="I1" s="266"/>
      <c r="J1" s="266"/>
      <c r="K1" s="266"/>
      <c r="L1" s="266"/>
    </row>
    <row r="2" spans="1:12" ht="12.75" customHeight="1">
      <c r="A2" s="99"/>
      <c r="B2" s="99"/>
      <c r="C2" s="708"/>
      <c r="D2" s="708"/>
      <c r="E2" s="68"/>
      <c r="F2" s="68"/>
      <c r="G2" s="266"/>
      <c r="H2" s="266"/>
      <c r="I2" s="266"/>
      <c r="J2" s="266"/>
      <c r="K2" s="266"/>
      <c r="L2" s="266"/>
    </row>
    <row r="3" spans="1:12" ht="12.75" customHeight="1">
      <c r="A3" s="99"/>
      <c r="B3" s="99"/>
      <c r="C3" s="708"/>
      <c r="D3" s="708"/>
      <c r="E3" s="68"/>
      <c r="F3" s="68"/>
      <c r="G3" s="266"/>
      <c r="H3" s="266"/>
      <c r="I3" s="266"/>
      <c r="J3" s="266"/>
      <c r="K3" s="266"/>
      <c r="L3" s="266"/>
    </row>
    <row r="4" spans="1:12" s="34" customFormat="1" ht="12.75" customHeight="1">
      <c r="A4" s="269"/>
      <c r="B4" s="35" t="str">
        <f>IF('Język - Language'!$B$30="Polski","            Opcje emisji, dopłaty i uwagi dodatkowe","            Extra charges, additional service and further comments")</f>
        <v xml:space="preserve">            Opcje emisji, dopłaty i uwagi dodatkowe</v>
      </c>
      <c r="C4" s="36"/>
      <c r="D4" s="263" t="str">
        <f>IF('Język - Language'!$B$30="Polski","PL","EN")</f>
        <v>PL</v>
      </c>
      <c r="E4" s="269"/>
      <c r="F4" s="269"/>
      <c r="G4" s="269"/>
      <c r="H4" s="269"/>
      <c r="I4" s="269"/>
      <c r="J4" s="269"/>
      <c r="K4" s="269"/>
      <c r="L4" s="269"/>
    </row>
    <row r="5" spans="1:12" ht="12.75" customHeight="1">
      <c r="A5" s="266"/>
      <c r="B5" s="266"/>
      <c r="C5" s="266"/>
      <c r="D5" s="266"/>
      <c r="E5" s="266"/>
      <c r="F5" s="266"/>
      <c r="G5" s="266"/>
      <c r="H5" s="266"/>
      <c r="I5" s="266"/>
      <c r="J5" s="266"/>
      <c r="K5" s="266"/>
      <c r="L5" s="266"/>
    </row>
    <row r="6" spans="1:12" ht="12.75" customHeight="1">
      <c r="A6" s="266"/>
      <c r="B6" s="264"/>
      <c r="C6" s="264"/>
      <c r="D6" s="264"/>
      <c r="E6" s="266"/>
      <c r="F6" s="266"/>
      <c r="G6" s="266"/>
      <c r="H6" s="266"/>
      <c r="I6" s="266"/>
      <c r="J6" s="266"/>
      <c r="K6" s="266"/>
      <c r="L6" s="266"/>
    </row>
    <row r="7" spans="1:12" ht="25.5" customHeight="1">
      <c r="A7" s="264"/>
      <c r="B7" s="977" t="str">
        <f>IF('Język - Language'!$B$30="Polski","OPCJE EMISJI","ADDITIONAL OPTIONS")</f>
        <v>OPCJE EMISJI</v>
      </c>
      <c r="C7" s="977"/>
      <c r="D7" s="317" t="str">
        <f>IF('Język - Language'!$B$30="Polski","DOPŁATA","EXTRA CHARGE")</f>
        <v>DOPŁATA</v>
      </c>
      <c r="E7" s="266"/>
      <c r="F7" s="266"/>
      <c r="G7" s="266"/>
      <c r="H7" s="266"/>
      <c r="I7" s="266"/>
      <c r="J7" s="266"/>
      <c r="K7" s="266"/>
      <c r="L7" s="266"/>
    </row>
    <row r="8" spans="1:12" s="224" customFormat="1" ht="12.75" customHeight="1">
      <c r="A8" s="266"/>
      <c r="B8" s="1122" t="str">
        <f>IF('Język - Language'!$B$30="Polski","Emisja Flat Fee w okresie wzmożonego popytu (Black Week, 13-26 grudnia oraz 2 tygodnie przed Wielkanocą)","Flat Fee emission in the period of increased demand (Black Week, 13-26 December and 2 weeks before Easter)")</f>
        <v>Emisja Flat Fee w okresie wzmożonego popytu (Black Week, 13-26 grudnia oraz 2 tygodnie przed Wielkanocą)</v>
      </c>
      <c r="C8" s="1122"/>
      <c r="D8" s="319" t="s">
        <v>67</v>
      </c>
      <c r="E8" s="21"/>
      <c r="F8" s="141"/>
      <c r="G8" s="141"/>
      <c r="H8" s="141"/>
      <c r="I8" s="69"/>
      <c r="J8" s="69"/>
      <c r="K8" s="69"/>
      <c r="L8" s="69"/>
    </row>
    <row r="9" spans="1:12" s="266" customFormat="1" ht="12.75" customHeight="1">
      <c r="B9" s="1122" t="str">
        <f>IF('Język - Language'!$B$30="Polski","Umieszczenie reklamy w wybranym przedziale godzinowym","Displaying ad in selected hourly time slots")</f>
        <v>Umieszczenie reklamy w wybranym przedziale godzinowym</v>
      </c>
      <c r="C9" s="1122"/>
      <c r="D9" s="319" t="s">
        <v>64</v>
      </c>
      <c r="E9" s="21"/>
      <c r="F9" s="141"/>
      <c r="G9" s="141"/>
      <c r="H9" s="141"/>
      <c r="I9" s="69"/>
      <c r="J9" s="69"/>
      <c r="K9" s="69"/>
      <c r="L9" s="69"/>
    </row>
    <row r="10" spans="1:12" ht="12.75" customHeight="1">
      <c r="A10" s="266"/>
      <c r="B10" s="826" t="str">
        <f>IF('Język - Language'!$B$30="Polski","Umieszczenie reklamy w wybranym przedziale godzinowym w opcji last minute","Displaying ad in selected hourly time slots (last minute)")</f>
        <v>Umieszczenie reklamy w wybranym przedziale godzinowym w opcji last minute</v>
      </c>
      <c r="C10" s="828"/>
      <c r="D10" s="319" t="s">
        <v>65</v>
      </c>
      <c r="E10" s="21"/>
      <c r="F10" s="141"/>
      <c r="G10" s="141"/>
      <c r="H10" s="141"/>
      <c r="I10" s="69"/>
      <c r="J10" s="69"/>
      <c r="K10" s="69"/>
      <c r="L10" s="69"/>
    </row>
    <row r="11" spans="1:12" ht="12.75" customHeight="1">
      <c r="A11" s="266"/>
      <c r="B11" s="1122" t="str">
        <f>IF('Język - Language'!$B$30="Polski","Ukierunkowanie reklamy do użytkowników wybranej przeglądarki internetowej","Directing ad to users using selected internet browser")</f>
        <v>Ukierunkowanie reklamy do użytkowników wybranej przeglądarki internetowej</v>
      </c>
      <c r="C11" s="1122"/>
      <c r="D11" s="320" t="s">
        <v>64</v>
      </c>
      <c r="E11" s="266"/>
      <c r="F11" s="141"/>
      <c r="G11" s="141"/>
      <c r="H11" s="141"/>
      <c r="I11" s="264"/>
      <c r="J11" s="264"/>
      <c r="K11" s="264"/>
      <c r="L11" s="264"/>
    </row>
    <row r="12" spans="1:12" ht="12.75" customHeight="1">
      <c r="A12" s="266"/>
      <c r="B12" s="1120" t="str">
        <f>IF('Język - Language'!$B$30="Polski","Ukierunkowanie reklamy do użytkowników wybranego systemu operacyjnego","Directing ad to users using selected operational system")</f>
        <v>Ukierunkowanie reklamy do użytkowników wybranego systemu operacyjnego</v>
      </c>
      <c r="C12" s="1120"/>
      <c r="D12" s="320" t="s">
        <v>65</v>
      </c>
      <c r="E12" s="266"/>
      <c r="F12" s="141"/>
      <c r="G12" s="141"/>
      <c r="H12" s="141"/>
      <c r="I12" s="1124"/>
      <c r="J12" s="1124"/>
      <c r="K12" s="1124"/>
      <c r="L12" s="70"/>
    </row>
    <row r="13" spans="1:12" ht="12.75" customHeight="1">
      <c r="A13" s="266"/>
      <c r="B13" s="1123" t="str">
        <f>IF('Język - Language'!$B$30="Polski","Ukierunkowanie reklamy do użytkowników wybranej marki lub modelu telefonu","Directing ad to users of selected brand or type of cell phone")</f>
        <v>Ukierunkowanie reklamy do użytkowników wybranej marki lub modelu telefonu</v>
      </c>
      <c r="C13" s="1123"/>
      <c r="D13" s="320" t="s">
        <v>64</v>
      </c>
      <c r="E13" s="266"/>
      <c r="F13" s="141"/>
      <c r="G13" s="141"/>
      <c r="H13" s="141"/>
      <c r="I13" s="1124"/>
      <c r="J13" s="1124"/>
      <c r="K13" s="1124"/>
      <c r="L13" s="70"/>
    </row>
    <row r="14" spans="1:12" ht="12.75" customHeight="1">
      <c r="A14" s="266"/>
      <c r="B14" s="1120" t="str">
        <f>IF('Język - Language'!$B$30="Polski","Ograniczenie ilości odsłon reklamy do pojedynczego użytkownika","Capping ad to single users")</f>
        <v>Ograniczenie ilości odsłon reklamy do pojedynczego użytkownika</v>
      </c>
      <c r="C14" s="1120"/>
      <c r="D14" s="320" t="s">
        <v>65</v>
      </c>
      <c r="E14" s="21"/>
      <c r="F14" s="141"/>
      <c r="G14" s="141"/>
      <c r="H14" s="141"/>
      <c r="I14" s="1124"/>
      <c r="J14" s="1124"/>
      <c r="K14" s="1124"/>
      <c r="L14" s="70"/>
    </row>
    <row r="15" spans="1:12" ht="12.75" customHeight="1">
      <c r="A15" s="266"/>
      <c r="B15" s="826" t="str">
        <f>IF('Język - Language'!$B$30="Polski","Targetowanie po operatorach (Play, Plus, T-mobile, Orange)","Directing ad to users who use Play, Plus, T-mobile or Orange provider ")</f>
        <v>Targetowanie po operatorach (Play, Plus, T-mobile, Orange)</v>
      </c>
      <c r="C15" s="828"/>
      <c r="D15" s="320" t="s">
        <v>63</v>
      </c>
      <c r="E15" s="266"/>
      <c r="F15" s="141"/>
      <c r="G15" s="141"/>
      <c r="H15" s="141"/>
      <c r="I15" s="1124"/>
      <c r="J15" s="1124"/>
      <c r="K15" s="1124"/>
      <c r="L15" s="70"/>
    </row>
    <row r="16" spans="1:12" ht="12.75" customHeight="1">
      <c r="A16" s="266"/>
      <c r="B16" s="826" t="str">
        <f>IF('Język - Language'!$B$30="Polski","Targetowanie po dostawcy Internetu (tylko display, wymagane 10 dni roboczych na przygotowanie)","Directing ad to users who use selected internet provider (applicable to display only; 10 working days earlier)")</f>
        <v>Targetowanie po dostawcy Internetu (tylko display, wymagane 10 dni roboczych na przygotowanie)</v>
      </c>
      <c r="C16" s="828"/>
      <c r="D16" s="320" t="s">
        <v>62</v>
      </c>
      <c r="E16" s="266"/>
      <c r="F16" s="141"/>
      <c r="G16" s="141"/>
      <c r="H16" s="141"/>
      <c r="I16" s="321"/>
      <c r="J16" s="321"/>
      <c r="K16" s="321"/>
      <c r="L16" s="70"/>
    </row>
    <row r="17" spans="1:12" ht="12.75" customHeight="1">
      <c r="A17" s="266"/>
      <c r="B17" s="1121" t="str">
        <f>IF('Język - Language'!$B$30="Polski","Wideo w kreacji ","Adding video in creative")</f>
        <v xml:space="preserve">Wideo w kreacji </v>
      </c>
      <c r="C17" s="1121"/>
      <c r="D17" s="320" t="s">
        <v>63</v>
      </c>
      <c r="E17" s="21"/>
      <c r="F17" s="141"/>
      <c r="G17" s="141"/>
      <c r="H17" s="141"/>
      <c r="I17" s="1140"/>
      <c r="J17" s="1140"/>
      <c r="K17" s="1140"/>
      <c r="L17" s="70"/>
    </row>
    <row r="18" spans="1:12" ht="12.75" customHeight="1">
      <c r="B18" s="1121" t="str">
        <f>IF('Język - Language'!$B$30="Polski","Gwarancja pierwszej pozycji w bloku reklamowym","A guarantee of the first ad position in advertising/placement block")</f>
        <v>Gwarancja pierwszej pozycji w bloku reklamowym</v>
      </c>
      <c r="C18" s="1121"/>
      <c r="D18" s="320" t="s">
        <v>66</v>
      </c>
      <c r="E18" s="21"/>
      <c r="F18" s="141"/>
      <c r="G18" s="141"/>
      <c r="H18" s="141"/>
      <c r="I18" s="323"/>
      <c r="J18" s="323"/>
      <c r="K18" s="323"/>
      <c r="L18" s="70"/>
    </row>
    <row r="19" spans="1:12" ht="12.75" customHeight="1">
      <c r="B19" s="1121" t="str">
        <f>IF('Język - Language'!$B$30="Polski","Emisja wyłącznie na wybranej części serwisu","Displaying ad in selected pages of a given site")</f>
        <v>Emisja wyłącznie na wybranej części serwisu</v>
      </c>
      <c r="C19" s="1121"/>
      <c r="D19" s="320" t="s">
        <v>63</v>
      </c>
      <c r="E19" s="21"/>
      <c r="F19" s="141"/>
      <c r="G19" s="141"/>
      <c r="H19" s="141"/>
      <c r="I19" s="1140"/>
      <c r="J19" s="1140"/>
      <c r="K19" s="1140"/>
      <c r="L19" s="70"/>
    </row>
    <row r="20" spans="1:12" ht="12.75" customHeight="1">
      <c r="B20" s="826" t="str">
        <f>IF('Język - Language'!$B$30="Polski","Tapeta: klikalna / animowana / interakwywna / z kurtyną","Clicable / animated watermark")</f>
        <v>Tapeta: klikalna / animowana / interakwywna / z kurtyną</v>
      </c>
      <c r="C20" s="828"/>
      <c r="D20" s="320" t="s">
        <v>63</v>
      </c>
      <c r="E20" s="266"/>
      <c r="F20" s="141"/>
      <c r="G20" s="141"/>
      <c r="H20" s="141"/>
      <c r="I20" s="1124"/>
      <c r="J20" s="1124"/>
      <c r="K20" s="1124"/>
      <c r="L20" s="70"/>
    </row>
    <row r="21" spans="1:12" ht="12.75" customHeight="1">
      <c r="B21" s="1121" t="str">
        <f>IF('Język - Language'!$B$30="Polski","Wyświetlanie kreacji reklamowych w określonej sekwencji","Displaying ads sequentionally")</f>
        <v>Wyświetlanie kreacji reklamowych w określonej sekwencji</v>
      </c>
      <c r="C21" s="1121"/>
      <c r="D21" s="320" t="s">
        <v>64</v>
      </c>
      <c r="E21" s="21"/>
      <c r="F21" s="141"/>
      <c r="G21" s="141"/>
      <c r="H21" s="141"/>
      <c r="I21" s="1124"/>
      <c r="J21" s="1124"/>
      <c r="K21" s="1124"/>
      <c r="L21" s="70"/>
    </row>
    <row r="22" spans="1:12" ht="12.75" customHeight="1">
      <c r="B22" s="1120" t="str">
        <f>IF('Język - Language'!$B$30="Polski","Logo drugiego klienta w kreacji","Adding second brand in a creative")</f>
        <v>Logo drugiego klienta w kreacji</v>
      </c>
      <c r="C22" s="1120"/>
      <c r="D22" s="320" t="s">
        <v>67</v>
      </c>
      <c r="E22" s="266"/>
      <c r="F22" s="141"/>
      <c r="G22" s="141"/>
      <c r="H22" s="141"/>
      <c r="I22" s="1124"/>
      <c r="J22" s="1124"/>
      <c r="K22" s="1124"/>
      <c r="L22" s="70"/>
    </row>
    <row r="23" spans="1:12" ht="12.75" customHeight="1">
      <c r="B23" s="1120" t="str">
        <f>IF('Język - Language'!$B$30="Polski","Każde następne logo w kreacji","Further brands in a creative")</f>
        <v>Każde następne logo w kreacji</v>
      </c>
      <c r="C23" s="1120"/>
      <c r="D23" s="320" t="s">
        <v>64</v>
      </c>
      <c r="E23" s="266"/>
      <c r="F23" s="141"/>
      <c r="G23" s="141"/>
      <c r="H23" s="141"/>
      <c r="I23" s="1124"/>
      <c r="J23" s="1124"/>
      <c r="K23" s="1124"/>
      <c r="L23" s="264"/>
    </row>
    <row r="24" spans="1:12" ht="12.75" customHeight="1">
      <c r="B24" s="1120" t="str">
        <f>IF('Język - Language'!$B$30="Polski","Przekroczenie wagi kreacji za każdy procent przekroczenia","Exceeding the ad weight for each per cent in excess")</f>
        <v>Przekroczenie wagi kreacji za każdy procent przekroczenia</v>
      </c>
      <c r="C24" s="1120"/>
      <c r="D24" s="320" t="s">
        <v>68</v>
      </c>
      <c r="E24" s="71"/>
      <c r="F24" s="141"/>
      <c r="G24" s="141"/>
      <c r="H24" s="141"/>
      <c r="I24" s="264"/>
      <c r="J24" s="264"/>
      <c r="K24" s="264"/>
      <c r="L24" s="264"/>
    </row>
    <row r="25" spans="1:12" s="116" customFormat="1" ht="12.75" customHeight="1">
      <c r="B25" s="826" t="str">
        <f>IF('Język - Language'!$B$30="Polski","Parallaxa w kreacji (emisja formatu z efektem parallaxy)","Parallax in a creative")</f>
        <v>Parallaxa w kreacji (emisja formatu z efektem parallaxy)</v>
      </c>
      <c r="C25" s="828"/>
      <c r="D25" s="320" t="s">
        <v>65</v>
      </c>
      <c r="E25" s="21"/>
      <c r="F25" s="141"/>
      <c r="G25" s="141"/>
      <c r="H25" s="141"/>
      <c r="I25" s="266"/>
      <c r="J25" s="266"/>
      <c r="K25" s="266"/>
      <c r="L25" s="266"/>
    </row>
    <row r="26" spans="1:12" s="266" customFormat="1" ht="12.75" customHeight="1">
      <c r="B26" s="826" t="str">
        <f>IF('Język - Language'!$B$30="Polski","Karuzela, Scroller, Slider, Cube w kreacji oraz expandowanie formy reklamowej","Carousel, Scroller, Slider, Cube in a creative and expanding of ads")</f>
        <v>Karuzela, Scroller, Slider, Cube w kreacji oraz expandowanie formy reklamowej</v>
      </c>
      <c r="C26" s="828"/>
      <c r="D26" s="320" t="s">
        <v>63</v>
      </c>
      <c r="E26" s="21"/>
      <c r="F26" s="141"/>
      <c r="G26" s="141"/>
      <c r="H26" s="141"/>
    </row>
    <row r="27" spans="1:12" s="266" customFormat="1" ht="12.75" customHeight="1">
      <c r="B27" s="826" t="s">
        <v>192</v>
      </c>
      <c r="C27" s="828"/>
      <c r="D27" s="320" t="s">
        <v>62</v>
      </c>
      <c r="E27" s="21"/>
      <c r="F27" s="141"/>
      <c r="G27" s="141"/>
      <c r="H27" s="141"/>
    </row>
    <row r="28" spans="1:12" ht="12.75" customHeight="1">
      <c r="B28" s="1120" t="str">
        <f>IF('Język - Language'!$B$30="Polski","Mega formaty","Mega Formats")</f>
        <v>Mega formaty</v>
      </c>
      <c r="C28" s="1120"/>
      <c r="D28" s="234" t="str">
        <f>IF('Język - Language'!$B$30="Polski","+50% do ceny formy podstawowej","+50% to basic format price")</f>
        <v>+50% do ceny formy podstawowej</v>
      </c>
      <c r="E28" s="266"/>
      <c r="F28" s="141"/>
      <c r="G28" s="141"/>
      <c r="H28" s="141"/>
      <c r="I28" s="266"/>
      <c r="J28" s="266"/>
      <c r="K28" s="266"/>
      <c r="L28" s="266"/>
    </row>
    <row r="29" spans="1:12" ht="12.75" customHeight="1">
      <c r="B29" s="1121" t="str">
        <f>IF('Język - Language'!$B$30="Polski","Połączenie dwóch form reklamowych","Mixing two ads")</f>
        <v>Połączenie dwóch form reklamowych</v>
      </c>
      <c r="C29" s="1121"/>
      <c r="D29" s="234" t="str">
        <f>IF('Język - Language'!$B$30="Polski","łącznie 150% ceny droższej formy","total of 150% of the price of most expensive format")</f>
        <v>łącznie 150% ceny droższej formy</v>
      </c>
      <c r="E29" s="266"/>
      <c r="F29" s="141"/>
      <c r="G29" s="141"/>
      <c r="H29" s="141"/>
      <c r="I29" s="266"/>
      <c r="J29" s="266"/>
      <c r="K29" s="266"/>
      <c r="L29" s="266"/>
    </row>
    <row r="30" spans="1:12" ht="12.75" customHeight="1">
      <c r="B30" s="826" t="str">
        <f>IF('Język - Language'!$B$30="Polski","Site-takeover","Site-takeover")</f>
        <v>Site-takeover</v>
      </c>
      <c r="C30" s="828"/>
      <c r="D30" s="234" t="s">
        <v>62</v>
      </c>
      <c r="E30" s="266"/>
      <c r="F30" s="141"/>
      <c r="G30" s="141"/>
      <c r="H30" s="141"/>
      <c r="I30" s="266"/>
      <c r="J30" s="266"/>
      <c r="K30" s="266"/>
      <c r="L30" s="266"/>
    </row>
    <row r="31" spans="1:12" ht="12.75" customHeight="1">
      <c r="B31" s="826" t="str">
        <f>IF('Język - Language'!$B$30="Polski","Zmiana kreacji w trakcie trwania kampanii display i w mailingu","Changing creative in display and mailing")</f>
        <v>Zmiana kreacji w trakcie trwania kampanii display i w mailingu</v>
      </c>
      <c r="C31" s="828"/>
      <c r="D31" s="234" t="str">
        <f>IF('Język - Language'!$B$30="Polski","+10% za każdą kreację","+10% for each creative")</f>
        <v>+10% za każdą kreację</v>
      </c>
      <c r="E31" s="266"/>
      <c r="F31" s="141"/>
      <c r="G31" s="141"/>
      <c r="H31" s="141"/>
      <c r="I31" s="266"/>
      <c r="J31" s="266"/>
      <c r="K31" s="266"/>
      <c r="L31" s="266"/>
    </row>
    <row r="32" spans="1:12" s="227" customFormat="1" ht="12.75" customHeight="1">
      <c r="B32" s="826" t="str">
        <f>IF('Język - Language'!$B$30="Polski","Pre-Order - rezerwacja na WP SG przed oficjalnym otwarciem rezerwatora na kolejny kwartał","Pre-Order - prior reservation (a guarantee od emission day) on the WP HP")</f>
        <v>Pre-Order - rezerwacja na WP SG przed oficjalnym otwarciem rezerwatora na kolejny kwartał</v>
      </c>
      <c r="C32" s="828"/>
      <c r="D32" s="320" t="s">
        <v>64</v>
      </c>
      <c r="E32" s="266"/>
      <c r="F32" s="141"/>
      <c r="G32" s="141"/>
      <c r="H32" s="141"/>
      <c r="I32" s="266"/>
      <c r="J32" s="266"/>
      <c r="K32" s="266"/>
      <c r="L32" s="266"/>
    </row>
    <row r="33" spans="1:8" s="266" customFormat="1" ht="12.75" customHeight="1">
      <c r="B33" s="826" t="s">
        <v>166</v>
      </c>
      <c r="C33" s="828"/>
      <c r="D33" s="320" t="s">
        <v>165</v>
      </c>
      <c r="F33" s="141"/>
      <c r="G33" s="141"/>
      <c r="H33" s="141"/>
    </row>
    <row r="34" spans="1:8" ht="12.75" customHeight="1">
      <c r="A34" s="266"/>
      <c r="B34" s="1122" t="str">
        <f>IF('Język - Language'!$B$30="Polski","Reklama piwa","Beer advertising")</f>
        <v>Reklama piwa</v>
      </c>
      <c r="C34" s="1122"/>
      <c r="D34" s="236" t="s">
        <v>69</v>
      </c>
      <c r="E34" s="266"/>
      <c r="F34" s="266"/>
    </row>
    <row r="35" spans="1:8" ht="12.75" customHeight="1">
      <c r="A35" s="266"/>
      <c r="B35" s="1123" t="str">
        <f>IF('Język - Language'!$B$30="Polski","Targetowanie demograficzne","Demographic targeting")</f>
        <v>Targetowanie demograficzne</v>
      </c>
      <c r="C35" s="1123"/>
      <c r="D35" s="234" t="str">
        <f>IF('Język - Language'!$B$30="Polski","+25% za każde kryterium","+25% for each criterion")</f>
        <v>+25% za każde kryterium</v>
      </c>
      <c r="E35" s="266"/>
      <c r="F35" s="72"/>
    </row>
    <row r="36" spans="1:8" ht="12.75" customHeight="1">
      <c r="A36" s="266"/>
      <c r="B36" s="1121" t="str">
        <f>IF('Język - Language'!$B$30="Polski","Targetowanie geograficzne","Geographic targeting")</f>
        <v>Targetowanie geograficzne</v>
      </c>
      <c r="C36" s="1121"/>
      <c r="D36" s="234" t="str">
        <f>IF('Język - Language'!$B$30="Polski","+50% za każde kryterium","+50% for each criterion")</f>
        <v>+50% za każde kryterium</v>
      </c>
      <c r="E36" s="266"/>
      <c r="F36" s="117"/>
    </row>
    <row r="37" spans="1:8" s="266" customFormat="1" ht="12.75" customHeight="1">
      <c r="B37" s="826" t="s">
        <v>329</v>
      </c>
      <c r="C37" s="828"/>
      <c r="D37" s="320" t="s">
        <v>62</v>
      </c>
      <c r="F37" s="117"/>
    </row>
    <row r="38" spans="1:8" s="88" customFormat="1" ht="12.75" customHeight="1">
      <c r="A38" s="266"/>
      <c r="B38" s="1120" t="str">
        <f>IF('Język - Language'!$B$30="Polski","Targetowanie po kategoriach IAB (na wybranej powierzchni)","IAB categories targeting")</f>
        <v>Targetowanie po kategoriach IAB (na wybranej powierzchni)</v>
      </c>
      <c r="C38" s="1120"/>
      <c r="D38" s="234" t="str">
        <f>IF('Język - Language'!$B$30="Polski","+25% za każde kryterium","+25% for each criterion")</f>
        <v>+25% za każde kryterium</v>
      </c>
      <c r="E38" s="266"/>
      <c r="F38" s="73"/>
    </row>
    <row r="39" spans="1:8" ht="12.75" customHeight="1">
      <c r="A39" s="266"/>
      <c r="B39" s="1120" t="str">
        <f>IF('Język - Language'!$B$30="Polski","Retargetowanie","Retargeting")</f>
        <v>Retargetowanie</v>
      </c>
      <c r="C39" s="1120"/>
      <c r="D39" s="237" t="s">
        <v>62</v>
      </c>
      <c r="E39" s="21"/>
      <c r="F39" s="266"/>
    </row>
    <row r="40" spans="1:8" s="266" customFormat="1" ht="12.75" customHeight="1">
      <c r="B40" s="826" t="s">
        <v>81</v>
      </c>
      <c r="C40" s="828"/>
      <c r="D40" s="237" t="s">
        <v>65</v>
      </c>
      <c r="E40" s="21"/>
    </row>
    <row r="41" spans="1:8" ht="12.75" customHeight="1">
      <c r="A41" s="266"/>
      <c r="B41" s="1121" t="str">
        <f>IF('Język - Language'!$B$30="Polski","Wybór emisji tylko na jednym portalu","Selecting either WP or O2 (display and mailing)")</f>
        <v>Wybór emisji tylko na jednym portalu</v>
      </c>
      <c r="C41" s="1121"/>
      <c r="D41" s="237" t="s">
        <v>64</v>
      </c>
      <c r="E41" s="266"/>
      <c r="F41" s="266"/>
    </row>
    <row r="42" spans="1:8" ht="12.75" customHeight="1">
      <c r="A42" s="266"/>
      <c r="B42" s="1121" t="str">
        <f>IF('Język - Language'!$B$30="Polski","Optymalizacja big data w mailingach","Big data optimalization")</f>
        <v>Optymalizacja big data w mailingach</v>
      </c>
      <c r="C42" s="1121"/>
      <c r="D42" s="238" t="s">
        <v>63</v>
      </c>
      <c r="E42" s="266"/>
      <c r="F42" s="266"/>
    </row>
    <row r="43" spans="1:8" ht="25.5" customHeight="1">
      <c r="A43" s="266"/>
      <c r="B43" s="976" t="str">
        <f>IF('Język - Language'!$B$30="Polski","DODATKOWE OPCJE W MAILINGU","MAILING ADDITIONAL OPTIONS")</f>
        <v>DODATKOWE OPCJE W MAILINGU</v>
      </c>
      <c r="C43" s="976"/>
      <c r="D43" s="299" t="str">
        <f>IF('Język - Language'!$B$30="Polski","DOPŁATA","EXTRA CHARGE")</f>
        <v>DOPŁATA</v>
      </c>
      <c r="E43" s="266"/>
      <c r="F43" s="266"/>
    </row>
    <row r="44" spans="1:8" ht="12.75" customHeight="1">
      <c r="A44" s="266"/>
      <c r="B44" s="1123" t="str">
        <f>IF('Język - Language'!$B$30="Polski","Mailing do bazy użytkowników wybranego portalu (tylko o2.pl lub tylko WP.pl)","Advertising mailing to o2 email services only or WP email services only")</f>
        <v>Mailing do bazy użytkowników wybranego portalu (tylko o2.pl lub tylko WP.pl)</v>
      </c>
      <c r="C44" s="1123"/>
      <c r="D44" s="235" t="s">
        <v>64</v>
      </c>
      <c r="E44" s="266"/>
      <c r="F44" s="266"/>
    </row>
    <row r="45" spans="1:8" ht="12.75" customHeight="1">
      <c r="A45" s="266"/>
      <c r="B45" s="826" t="str">
        <f>IF('Język - Language'!$B$30="Polski","Odznaczanie bazy mailingowej","Odznaczanie bazy mailingowej")</f>
        <v>Odznaczanie bazy mailingowej</v>
      </c>
      <c r="C45" s="828"/>
      <c r="D45" s="239" t="s">
        <v>63</v>
      </c>
      <c r="E45" s="266"/>
      <c r="F45" s="65"/>
    </row>
    <row r="46" spans="1:8" s="119" customFormat="1" ht="12.75" customHeight="1">
      <c r="A46" s="180"/>
      <c r="B46" s="826" t="str">
        <f>IF('Język - Language'!$B$30="Polski","Wysyłka mailingu w częściach - za drugą i każdą następną część","Mailing in parts - for second and every next part")</f>
        <v>Wysyłka mailingu w częściach - za drugą i każdą następną część</v>
      </c>
      <c r="C46" s="828"/>
      <c r="D46" s="237" t="s">
        <v>64</v>
      </c>
      <c r="E46" s="266"/>
      <c r="F46" s="266"/>
    </row>
    <row r="47" spans="1:8" s="119" customFormat="1" ht="12.75" customHeight="1">
      <c r="A47" s="180"/>
      <c r="B47" s="826" t="str">
        <f>IF('Język - Language'!$B$30="Polski","Retargetowanie mailingu","Retargeted mailing")</f>
        <v>Retargetowanie mailingu</v>
      </c>
      <c r="C47" s="828"/>
      <c r="D47" s="237" t="s">
        <v>62</v>
      </c>
      <c r="E47" s="266"/>
      <c r="F47" s="266"/>
      <c r="G47" s="266"/>
    </row>
    <row r="48" spans="1:8" s="119" customFormat="1" ht="12.75" customHeight="1">
      <c r="A48" s="180"/>
      <c r="B48" s="826" t="str">
        <f>IF('Język - Language'!$B$30="Polski","Personalizacja mailingu WP (login, imię, nazwisko)","Personalization in WP Mailing (login, name, surname)")</f>
        <v>Personalizacja mailingu WP (login, imię, nazwisko)</v>
      </c>
      <c r="C48" s="828"/>
      <c r="D48" s="237" t="s">
        <v>63</v>
      </c>
      <c r="E48" s="266"/>
      <c r="F48" s="266"/>
      <c r="G48" s="266"/>
    </row>
    <row r="49" spans="1:27" s="119" customFormat="1" ht="12.75" customHeight="1">
      <c r="A49" s="264"/>
      <c r="B49" s="826" t="str">
        <f>IF('Język - Language'!$B$30="Polski","Dopłata za TG dotyczący produktów alkoholowych (inne niż piwo)","Special target to advertise alcoholic products (other than beer)")</f>
        <v>Dopłata za TG dotyczący produktów alkoholowych (inne niż piwo)</v>
      </c>
      <c r="C49" s="828"/>
      <c r="D49" s="237" t="s">
        <v>63</v>
      </c>
      <c r="E49" s="266"/>
      <c r="F49" s="266"/>
      <c r="G49" s="266"/>
    </row>
    <row r="50" spans="1:27" s="119" customFormat="1" ht="12.75" customHeight="1">
      <c r="A50" s="264"/>
      <c r="B50" s="826" t="str">
        <f>IF('Język - Language'!$B$30="Polski","Podświetlenie / wyróżnienie","Backlighting / highlighting")</f>
        <v>Podświetlenie / wyróżnienie</v>
      </c>
      <c r="C50" s="828"/>
      <c r="D50" s="237" t="s">
        <v>62</v>
      </c>
      <c r="E50" s="266"/>
      <c r="F50" s="266"/>
      <c r="G50" s="266"/>
    </row>
    <row r="51" spans="1:27" s="119" customFormat="1" ht="12.75" customHeight="1">
      <c r="A51" s="264"/>
      <c r="B51" s="826" t="str">
        <f>IF('Język - Language'!$B$30="Polski","Mailing wysyłany na urządzenia mobilne","Mailing dispatched only to mobile devices")</f>
        <v>Mailing wysyłany na urządzenia mobilne</v>
      </c>
      <c r="C51" s="828"/>
      <c r="D51" s="237" t="s">
        <v>62</v>
      </c>
      <c r="E51" s="266"/>
      <c r="F51" s="266"/>
      <c r="G51" s="266"/>
    </row>
    <row r="52" spans="1:27" s="119" customFormat="1" ht="12.75" customHeight="1">
      <c r="A52" s="264"/>
      <c r="B52" s="826" t="str">
        <f>IF('Język - Language'!$B$30="Polski","Dopłata za dodatkowe 10kB","Additional 10kB of ad weight")</f>
        <v>Dopłata za dodatkowe 10kB</v>
      </c>
      <c r="C52" s="828"/>
      <c r="D52" s="237" t="s">
        <v>70</v>
      </c>
      <c r="E52" s="266"/>
      <c r="F52" s="266"/>
      <c r="G52" s="266"/>
    </row>
    <row r="53" spans="1:27" s="119" customFormat="1" ht="12.75" customHeight="1">
      <c r="A53" s="264"/>
      <c r="B53" s="826" t="str">
        <f>IF('Język - Language'!$B$30="Polski","Video Mailing do 1,5 MB","Video Mailing up to 1,5 MB")</f>
        <v>Video Mailing do 1,5 MB</v>
      </c>
      <c r="C53" s="828"/>
      <c r="D53" s="237" t="s">
        <v>63</v>
      </c>
      <c r="E53" s="266"/>
      <c r="F53" s="266"/>
      <c r="G53" s="266"/>
    </row>
    <row r="54" spans="1:27" s="119" customFormat="1" ht="12.75" customHeight="1">
      <c r="A54" s="264"/>
      <c r="B54" s="1129" t="str">
        <f>IF('Język - Language'!$B$30="Polski","Optymalizacja big data w mailingach","Big data optimization in Mailing")</f>
        <v>Optymalizacja big data w mailingach</v>
      </c>
      <c r="C54" s="1130"/>
      <c r="D54" s="240" t="s">
        <v>63</v>
      </c>
      <c r="E54" s="266"/>
      <c r="F54" s="266"/>
      <c r="G54" s="266"/>
    </row>
    <row r="55" spans="1:27" s="119" customFormat="1" ht="12.75" customHeight="1">
      <c r="A55" s="266"/>
      <c r="B55" s="228"/>
      <c r="C55" s="228"/>
      <c r="D55" s="241"/>
      <c r="E55" s="266"/>
      <c r="F55" s="266"/>
      <c r="G55" s="266"/>
    </row>
    <row r="56" spans="1:27" ht="25.5" customHeight="1">
      <c r="A56" s="264"/>
      <c r="B56" s="1118" t="str">
        <f>IF('Język - Language'!$B$30="Polski","KRYTERIA TARGETOWANIA KAMPANII DISPLAY ORAZ MAILINGU","TARGETING CRITERIA FOR DISPLAY AND MAILING CAMPAIGNS")</f>
        <v>KRYTERIA TARGETOWANIA KAMPANII DISPLAY ORAZ MAILINGU</v>
      </c>
      <c r="C56" s="1118"/>
      <c r="D56" s="1119"/>
      <c r="E56" s="10"/>
      <c r="F56" s="10"/>
      <c r="G56" s="10"/>
    </row>
    <row r="57" spans="1:27" ht="21">
      <c r="A57" s="264"/>
      <c r="B57" s="322" t="str">
        <f>IF('Język - Language'!$B$30="Polski","TARGETOWANIE DEMOGRAFICZNE","DEMOGRAPHIC TARGETING")</f>
        <v>TARGETOWANIE DEMOGRAFICZNE</v>
      </c>
      <c r="C57" s="1127" t="str">
        <f>IF('Język - Language'!$B$30="Polski","PARAMETRY TARGETOWANIA","TARGETING PARAMETERS")</f>
        <v>PARAMETRY TARGETOWANIA</v>
      </c>
      <c r="D57" s="1128"/>
      <c r="E57" s="11"/>
      <c r="F57" s="11"/>
      <c r="G57" s="11"/>
    </row>
    <row r="58" spans="1:27">
      <c r="A58" s="266"/>
      <c r="B58" s="242" t="str">
        <f>IF('Język - Language'!$B$30="Polski","PŁEĆ","GENDER")</f>
        <v>PŁEĆ</v>
      </c>
      <c r="C58" s="1114" t="str">
        <f>IF('Język - Language'!$B$30="Polski","kobieta, mężczyzna","woman, man")</f>
        <v>kobieta, mężczyzna</v>
      </c>
      <c r="D58" s="1115"/>
      <c r="E58" s="66"/>
      <c r="F58" s="66"/>
      <c r="G58" s="66"/>
    </row>
    <row r="59" spans="1:27">
      <c r="A59" s="266"/>
      <c r="B59" s="243" t="str">
        <f>IF('Język - Language'!$B$30="Polski","WIEK","AGE")</f>
        <v>WIEK</v>
      </c>
      <c r="C59" s="1136" t="str">
        <f>IF('Język - Language'!$B$30="Polski","dowolny przedział wiekowy","number of years")</f>
        <v>dowolny przedział wiekowy</v>
      </c>
      <c r="D59" s="1137"/>
      <c r="E59" s="66"/>
      <c r="F59" s="66"/>
      <c r="G59" s="66"/>
    </row>
    <row r="60" spans="1:27">
      <c r="A60" s="266"/>
      <c r="B60" s="243" t="str">
        <f>IF('Język - Language'!$B$30="Polski","WYKSZTAŁCENIE","EDUCATION")</f>
        <v>WYKSZTAŁCENIE</v>
      </c>
      <c r="C60" s="1116" t="str">
        <f>IF('Język - Language'!$B$30="Polski","bez wykształcenia, podstawowe, zawodowe, średnie, wyższe","no education, basic, professional, high school, BA / MA")</f>
        <v>bez wykształcenia, podstawowe, zawodowe, średnie, wyższe</v>
      </c>
      <c r="D60" s="1117"/>
      <c r="E60" s="37"/>
      <c r="F60" s="37"/>
      <c r="G60" s="37"/>
    </row>
    <row r="61" spans="1:27" ht="36" customHeight="1">
      <c r="A61" s="266"/>
      <c r="B61" s="243" t="str">
        <f>IF('Język - Language'!$B$30="Polski","ZAWÓD","PROFESSION")</f>
        <v>ZAWÓD</v>
      </c>
      <c r="C61" s="1116" t="str">
        <f>IF('Język - Language'!$B$30="Polski","wyższy urzędnik / kierownik, wolny zawód / specjalista, prywatny przedsiębiorca / biznesmen, rolnik, robotnik, pracownik usług / administracja / technik, gospodyni domowa, student, uczeń, emeryt / rencista, bezrobotny","senior clerk / manager, freelancer / specialist, entrepreneur / businessman, farmer, laborer, services / administration employee / technician, housewife, student, pupil, old age pensioner / sickness pensioner, unemployed")</f>
        <v>wyższy urzędnik / kierownik, wolny zawód / specjalista, prywatny przedsiębiorca / biznesmen, rolnik, robotnik, pracownik usług / administracja / technik, gospodyni domowa, student, uczeń, emeryt / rencista, bezrobotny</v>
      </c>
      <c r="D61" s="1117"/>
      <c r="E61" s="37"/>
      <c r="F61" s="37"/>
      <c r="G61" s="37"/>
    </row>
    <row r="62" spans="1:27" ht="38.25" customHeight="1">
      <c r="A62" s="266"/>
      <c r="B62" s="243" t="str">
        <f>IF('Język - Language'!$B$30="Polski","ZAINTERESOWANIA","INTERESTS")</f>
        <v>ZAINTERESOWANIA</v>
      </c>
      <c r="C62" s="1116" t="str">
        <f>IF('Język - Language'!$B$30="Polski","dom i rodzina, biznes, gry komputerowe, komputery i internet, kultura i sztuka, muzyka, film, książki, motoryzacja, nauka i technika, polityka, podróże, sport, turystyka, zdrowie","family and home, business, computer games, computers and the internet, arts, music, films, books, automotive industry, science and technology, politics, travel, sport, tourism, health")</f>
        <v>dom i rodzina, biznes, gry komputerowe, komputery i internet, kultura i sztuka, muzyka, film, książki, motoryzacja, nauka i technika, polityka, podróże, sport, turystyka, zdrowie</v>
      </c>
      <c r="D62" s="1117"/>
      <c r="E62" s="37"/>
      <c r="F62" s="37"/>
      <c r="G62" s="37"/>
    </row>
    <row r="63" spans="1:27" ht="57" customHeight="1">
      <c r="A63" s="266"/>
      <c r="B63" s="244" t="str">
        <f>IF('Język - Language'!$B$30="Polski","BRANŻA","OCCUPATIONAL AREA")</f>
        <v>BRANŻA</v>
      </c>
      <c r="C63" s="1084" t="str">
        <f>CONCATENATE($AA$63,$AA$64)</f>
        <v>budownictwo / architektura, dystrybucja / logistyka, edukacja / badania naukowe, finanse / bankowość / ubezpieczenia, gastronomia / hotelarstwo / turystyka / sport, handel hurtowy i detaliczny, instytucje rządowe i samorządowe, łączność / telekomunikacja, media / kultura i sztuka / rozrywka, medycyna / ochrona zdrowia, produkcja, rachunkowość / audyt, usługi dla firm / ludności, usługi internetowe/komputerowe, usługi prawne / konsulting</v>
      </c>
      <c r="D63" s="1085"/>
      <c r="E63" s="37"/>
      <c r="F63" s="37"/>
      <c r="G63" s="37"/>
      <c r="H63" s="266"/>
      <c r="I63" s="266"/>
      <c r="J63" s="266"/>
      <c r="K63" s="266"/>
      <c r="L63" s="266"/>
      <c r="M63" s="266"/>
      <c r="N63" s="266"/>
      <c r="O63" s="266"/>
      <c r="P63" s="266"/>
      <c r="Q63" s="266"/>
      <c r="R63" s="266"/>
      <c r="S63" s="266"/>
      <c r="T63" s="266"/>
      <c r="U63" s="266"/>
      <c r="V63" s="266"/>
      <c r="W63" s="266"/>
      <c r="X63" s="266"/>
      <c r="Y63" s="266"/>
      <c r="Z63" s="266"/>
      <c r="AA63" s="266" t="str">
        <f>IF('Język - Language'!$B$30="Polski","budownictwo / architektura, dystrybucja / logistyka, edukacja / badania naukowe, finanse / bankowość / ubezpieczenia, gastronomia / hotelarstwo / turystyka / sport, handel hurtowy i detaliczny, instytucje rządowe i samorządowe, łączność /","housing / architecture, distribution / logistics, education / scientific research, banking / finance / insurance, gastronomy / accommodation / tourism / sport, retail and wholesale trading, governmental institutions, connectivity /")</f>
        <v>budownictwo / architektura, dystrybucja / logistyka, edukacja / badania naukowe, finanse / bankowość / ubezpieczenia, gastronomia / hotelarstwo / turystyka / sport, handel hurtowy i detaliczny, instytucje rządowe i samorządowe, łączność /</v>
      </c>
    </row>
    <row r="64" spans="1:27" ht="21">
      <c r="A64" s="266"/>
      <c r="B64" s="322" t="str">
        <f>IF('Język - Language'!$B$30="Polski","TARGETOWANIE GEOGRAFICZNE","GEOTARGETING")</f>
        <v>TARGETOWANIE GEOGRAFICZNE</v>
      </c>
      <c r="C64" s="1127" t="str">
        <f>IF('Język - Language'!$B$30="Polski","PARAMETRY TARGETOWANIA","TARGETING PARAMETERS")</f>
        <v>PARAMETRY TARGETOWANIA</v>
      </c>
      <c r="D64" s="1128"/>
      <c r="E64" s="37"/>
      <c r="F64" s="37"/>
      <c r="G64" s="37"/>
      <c r="H64" s="266"/>
      <c r="I64" s="266"/>
      <c r="J64" s="266"/>
      <c r="K64" s="266"/>
      <c r="L64" s="266"/>
      <c r="M64" s="266"/>
      <c r="N64" s="266"/>
      <c r="O64" s="266"/>
      <c r="P64" s="266"/>
      <c r="Q64" s="266"/>
      <c r="R64" s="266"/>
      <c r="S64" s="266"/>
      <c r="T64" s="266"/>
      <c r="U64" s="266"/>
      <c r="V64" s="266"/>
      <c r="W64" s="266"/>
      <c r="X64" s="266"/>
      <c r="Y64" s="266"/>
      <c r="Z64" s="266"/>
      <c r="AA64" s="266"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65" spans="1:27">
      <c r="A65" s="264"/>
      <c r="B65" s="242" t="str">
        <f>IF('Język - Language'!$B$30="Polski","WOJEWÓDZTWO","PROVINCE")</f>
        <v>WOJEWÓDZTWO</v>
      </c>
      <c r="C65" s="1138" t="str">
        <f>IF('Język - Language'!$B$30="Polski","wybrane województwo","selected province")</f>
        <v>wybrane województwo</v>
      </c>
      <c r="D65" s="1139"/>
      <c r="E65" s="10"/>
      <c r="F65" s="10"/>
      <c r="G65" s="10"/>
      <c r="H65" s="266"/>
      <c r="I65" s="266"/>
      <c r="J65" s="266"/>
      <c r="K65" s="266"/>
      <c r="L65" s="266"/>
      <c r="M65" s="266"/>
      <c r="N65" s="266"/>
      <c r="O65" s="266"/>
      <c r="P65" s="266"/>
      <c r="Q65" s="266"/>
      <c r="R65" s="266"/>
      <c r="S65" s="266"/>
      <c r="T65" s="266"/>
      <c r="U65" s="266"/>
      <c r="V65" s="266"/>
      <c r="W65" s="266"/>
      <c r="X65" s="266"/>
      <c r="Y65" s="266"/>
      <c r="Z65" s="266"/>
      <c r="AA65" s="266"/>
    </row>
    <row r="66" spans="1:27">
      <c r="A66" s="266"/>
      <c r="B66" s="243" t="str">
        <f>IF('Język - Language'!$B$30="Polski","MIASTO","CITY")</f>
        <v>MIASTO</v>
      </c>
      <c r="C66" s="1134" t="str">
        <f>IF('Język - Language'!$B$30="Polski","wybrane miasto","selected city")</f>
        <v>wybrane miasto</v>
      </c>
      <c r="D66" s="1135"/>
      <c r="E66" s="67"/>
      <c r="F66" s="67"/>
      <c r="G66" s="67"/>
      <c r="H66" s="266"/>
      <c r="I66" s="266"/>
      <c r="J66" s="266"/>
      <c r="K66" s="266"/>
      <c r="L66" s="266"/>
      <c r="M66" s="266"/>
      <c r="N66" s="266"/>
      <c r="O66" s="266"/>
      <c r="P66" s="266"/>
      <c r="Q66" s="266"/>
      <c r="R66" s="266"/>
      <c r="S66" s="266"/>
      <c r="T66" s="266"/>
      <c r="U66" s="266"/>
      <c r="V66" s="266"/>
      <c r="W66" s="266"/>
      <c r="X66" s="266"/>
      <c r="Y66" s="266"/>
      <c r="Z66" s="266"/>
      <c r="AA66" s="266"/>
    </row>
    <row r="67" spans="1:27">
      <c r="A67" s="266"/>
      <c r="B67" s="283"/>
      <c r="C67" s="283"/>
      <c r="D67" s="283"/>
      <c r="E67" s="67"/>
      <c r="F67" s="67"/>
      <c r="G67" s="67"/>
      <c r="H67" s="266"/>
      <c r="I67" s="266"/>
      <c r="J67" s="266"/>
      <c r="K67" s="266"/>
      <c r="L67" s="266"/>
      <c r="M67" s="266"/>
      <c r="N67" s="266"/>
      <c r="O67" s="266"/>
      <c r="P67" s="266"/>
      <c r="Q67" s="266"/>
      <c r="R67" s="266"/>
      <c r="S67" s="266"/>
      <c r="T67" s="266"/>
      <c r="U67" s="266"/>
      <c r="V67" s="266"/>
      <c r="W67" s="266"/>
      <c r="X67" s="266"/>
      <c r="Y67" s="266"/>
      <c r="Z67" s="266"/>
      <c r="AA67" s="266"/>
    </row>
    <row r="68" spans="1:27">
      <c r="A68" s="266"/>
      <c r="B68" s="283"/>
      <c r="C68" s="283"/>
      <c r="D68" s="283"/>
      <c r="E68" s="266"/>
      <c r="F68" s="266"/>
      <c r="G68" s="266"/>
      <c r="H68" s="266"/>
      <c r="I68" s="266"/>
      <c r="J68" s="266"/>
      <c r="K68" s="266"/>
      <c r="L68" s="266"/>
      <c r="M68" s="266"/>
      <c r="N68" s="266"/>
      <c r="O68" s="266"/>
      <c r="P68" s="266"/>
      <c r="Q68" s="266"/>
      <c r="R68" s="266"/>
      <c r="S68" s="266"/>
      <c r="T68" s="266"/>
      <c r="U68" s="266"/>
      <c r="V68" s="266"/>
      <c r="W68" s="266"/>
      <c r="X68" s="266"/>
      <c r="Y68" s="266"/>
      <c r="Z68" s="266"/>
      <c r="AA68" s="266"/>
    </row>
    <row r="69" spans="1:27" s="266" customFormat="1">
      <c r="B69" s="1118" t="str">
        <f>IF('Język - Language'!$B$30="Polski","KRYTERIA TARGETOWANIA KAMPANII DATAPOWER","DATAPOWER TARGETING CRITERIA FOR DISPLAY AND MAILING CAMPAIGNS")</f>
        <v>KRYTERIA TARGETOWANIA KAMPANII DATAPOWER</v>
      </c>
      <c r="C69" s="1118"/>
      <c r="D69" s="1119"/>
    </row>
    <row r="70" spans="1:27" s="266" customFormat="1" ht="25.5" customHeight="1">
      <c r="A70" s="264"/>
      <c r="B70" s="570" t="str">
        <f>IF('Język - Language'!$B$30="Polski","KATEGORIA","CATEGORY")</f>
        <v>KATEGORIA</v>
      </c>
      <c r="C70" s="570" t="str">
        <f>IF('Język - Language'!$B$30="Polski","SUBKATEGORIE","SUBCATEGORIES")</f>
        <v>SUBKATEGORIE</v>
      </c>
      <c r="D70" s="571" t="str">
        <f>IF('Język - Language'!$B$30="Polski","DOPŁATA","EXTRA CHARGE")</f>
        <v>DOPŁATA</v>
      </c>
      <c r="E70" s="10"/>
      <c r="F70" s="10"/>
      <c r="G70" s="10"/>
    </row>
    <row r="71" spans="1:27" s="266" customFormat="1" ht="21">
      <c r="A71" s="264"/>
      <c r="B71" s="242" t="str">
        <f>IF('Język - Language'!$B$30="Polski","WPM ZASIĘG","WPM REACH PACKAGE")</f>
        <v>WPM ZASIĘG</v>
      </c>
      <c r="C71" s="583" t="s">
        <v>228</v>
      </c>
      <c r="D71" s="1131" t="s">
        <v>63</v>
      </c>
      <c r="E71" s="11"/>
      <c r="F71" s="11"/>
      <c r="G71" s="11"/>
    </row>
    <row r="72" spans="1:27" s="266" customFormat="1" ht="30" customHeight="1">
      <c r="B72" s="242" t="str">
        <f>IF('Język - Language'!$B$30="Polski","PREMIUM HP","PREMIUM HOME PAGE")</f>
        <v>PREMIUM HP</v>
      </c>
      <c r="C72" s="582" t="s">
        <v>227</v>
      </c>
      <c r="D72" s="1132"/>
      <c r="E72" s="66"/>
      <c r="F72" s="66"/>
      <c r="G72" s="66"/>
    </row>
    <row r="73" spans="1:27" s="266" customFormat="1" ht="25.5" customHeight="1">
      <c r="B73" s="242" t="str">
        <f>IF('Język - Language'!$B$30="Polski","BIZNES","BUSINESS")</f>
        <v>BIZNES</v>
      </c>
      <c r="C73" s="572" t="s">
        <v>217</v>
      </c>
      <c r="D73" s="1132"/>
      <c r="E73" s="66"/>
      <c r="F73" s="66"/>
      <c r="G73" s="66"/>
    </row>
    <row r="74" spans="1:27" s="266" customFormat="1" ht="25.5" customHeight="1">
      <c r="B74" s="243" t="str">
        <f>IF('Język - Language'!$B$30="Polski","INFO I SPORT","NEWS &amp; SPORT")</f>
        <v>INFO I SPORT</v>
      </c>
      <c r="C74" s="573" t="s">
        <v>218</v>
      </c>
      <c r="D74" s="1132"/>
      <c r="E74" s="66"/>
      <c r="F74" s="66"/>
      <c r="G74" s="66"/>
    </row>
    <row r="75" spans="1:27" s="266" customFormat="1" ht="25.5" customHeight="1">
      <c r="B75" s="243" t="str">
        <f>IF('Język - Language'!$B$30="Polski","MOTORYZACJA","AUTOMOTIVE")</f>
        <v>MOTORYZACJA</v>
      </c>
      <c r="C75" s="574" t="s">
        <v>219</v>
      </c>
      <c r="D75" s="1132"/>
      <c r="E75" s="66"/>
      <c r="F75" s="66"/>
      <c r="G75" s="66"/>
    </row>
    <row r="76" spans="1:27" s="266" customFormat="1" ht="25.5" customHeight="1">
      <c r="B76" s="243" t="str">
        <f>IF('Język - Language'!$B$30="Polski","ROZRYWKA","ENTERTAINMENT")</f>
        <v>ROZRYWKA</v>
      </c>
      <c r="C76" s="574" t="s">
        <v>220</v>
      </c>
      <c r="D76" s="1132"/>
      <c r="E76" s="37"/>
      <c r="F76" s="37"/>
      <c r="G76" s="37"/>
    </row>
    <row r="77" spans="1:27" s="266" customFormat="1" ht="25.5" customHeight="1">
      <c r="B77" s="243" t="str">
        <f>IF('Język - Language'!$B$30="Polski","STYL ŻYCIA","LIFESTYLE")</f>
        <v>STYL ŻYCIA</v>
      </c>
      <c r="C77" s="574" t="s">
        <v>221</v>
      </c>
      <c r="D77" s="1132"/>
      <c r="E77" s="37"/>
      <c r="F77" s="37"/>
      <c r="G77" s="37"/>
    </row>
    <row r="78" spans="1:27" s="266" customFormat="1" ht="25.5" customHeight="1">
      <c r="B78" s="244" t="str">
        <f>IF('Język - Language'!$B$30="Polski","TECHNOLOGIA","TECHNOLOGY")</f>
        <v>TECHNOLOGIA</v>
      </c>
      <c r="C78" s="575" t="s">
        <v>222</v>
      </c>
      <c r="D78" s="1132"/>
      <c r="E78" s="37"/>
      <c r="F78" s="37"/>
      <c r="G78" s="37"/>
    </row>
    <row r="79" spans="1:27" s="266" customFormat="1" ht="25.5" customHeight="1">
      <c r="B79" s="244" t="str">
        <f>IF('Język - Language'!$B$30="Polski","ZDROWIE I PARENTING","HEALTH &amp; PARENTING")</f>
        <v>ZDROWIE I PARENTING</v>
      </c>
      <c r="C79" s="574" t="s">
        <v>223</v>
      </c>
      <c r="D79" s="1132"/>
      <c r="E79" s="37"/>
      <c r="F79" s="37"/>
      <c r="G79" s="37"/>
      <c r="AA79" s="266" t="str">
        <f>IF('Język - Language'!$B$30="Polski","budownictwo / architektura, dystrybucja / logistyka, edukacja / badania naukowe, finanse / bankowość / ubezpieczenia, gastronomia / hotelarstwo / turystyka / sport, handel hurtowy i detaliczny, instytucje rządowe i samorządowe, łączność /","housing / architecture, distribution / logistics, education / scientific research, banking / finance / insurance, gastronomy / accommodation / tourism / sport, retail and wholesale trading, governmental institutions, connectivity /")</f>
        <v>budownictwo / architektura, dystrybucja / logistyka, edukacja / badania naukowe, finanse / bankowość / ubezpieczenia, gastronomia / hotelarstwo / turystyka / sport, handel hurtowy i detaliczny, instytucje rządowe i samorządowe, łączność /</v>
      </c>
    </row>
    <row r="80" spans="1:27" s="266" customFormat="1" ht="25.5" customHeight="1">
      <c r="B80" s="244" t="str">
        <f>IF('Język - Language'!$B$30="Polski","PAKIET GEO","GEOTARGETING PACKAGE")</f>
        <v>PAKIET GEO</v>
      </c>
      <c r="C80" s="574" t="s">
        <v>224</v>
      </c>
      <c r="D80" s="1133"/>
      <c r="E80" s="37"/>
      <c r="F80" s="37"/>
      <c r="G80" s="37"/>
      <c r="AA80" s="266"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81" spans="2:27" s="266" customFormat="1" ht="25.5" customHeight="1">
      <c r="B81" s="244" t="str">
        <f>IF('Język - Language'!$B$30="Polski","PAKIET PREMIUM","PREMIUM PACKAGE")</f>
        <v>PAKIET PREMIUM</v>
      </c>
      <c r="C81" s="574" t="s">
        <v>225</v>
      </c>
      <c r="D81" s="576" t="s">
        <v>62</v>
      </c>
      <c r="E81" s="37"/>
      <c r="F81" s="37"/>
      <c r="G81" s="37"/>
    </row>
    <row r="82" spans="2:27" s="266" customFormat="1" ht="52.5" customHeight="1">
      <c r="B82" s="244" t="str">
        <f>IF('Język - Language'!$B$30="Polski","PAKIET PLUS","PLUS PACKAGE")</f>
        <v>PAKIET PLUS</v>
      </c>
      <c r="C82" s="574" t="s">
        <v>226</v>
      </c>
      <c r="D82" s="576" t="s">
        <v>63</v>
      </c>
      <c r="E82" s="37"/>
      <c r="F82" s="37"/>
      <c r="G82" s="37"/>
      <c r="AA82" s="266" t="str">
        <f>IF('Język - Language'!$B$30="Polski"," telekomunikacja, media / kultura i sztuka / rozrywka, medycyna / ochrona zdrowia, produkcja, rachunkowość / audyt, usługi dla firm / ludności, usługi internetowe/komputerowe, usługi prawne / konsulting"," telecommunication, media / arts and culture / entertainment, medicine / health security, production, accounting / auditing, services B2B / B2C, computer / internet services, legal services / consulting)")</f>
        <v xml:space="preserve"> telekomunikacja, media / kultura i sztuka / rozrywka, medycyna / ochrona zdrowia, produkcja, rachunkowość / audyt, usługi dla firm / ludności, usługi internetowe/komputerowe, usługi prawne / konsulting</v>
      </c>
    </row>
    <row r="83" spans="2:27" s="266" customFormat="1" ht="25.5" customHeight="1">
      <c r="B83" s="283"/>
      <c r="C83" s="283"/>
      <c r="D83" s="283"/>
      <c r="E83" s="37"/>
      <c r="F83" s="37"/>
      <c r="G83" s="37"/>
    </row>
    <row r="84" spans="2:27" s="266" customFormat="1">
      <c r="B84" s="1126"/>
      <c r="C84" s="1126"/>
      <c r="D84" s="1126"/>
    </row>
    <row r="85" spans="2:27" s="266" customFormat="1">
      <c r="B85" s="1125" t="str">
        <f>IF('Język - Language'!$B$30="Polski","1. Kliknięcie w wybraną formę reklamową (poza watermarkiem) powoduje automatyczne przejście do reklamowanego serwisu.","1. Clicking in a selected advertising form (except for a watermark) triggers automatic passing to the advertising site.")</f>
        <v>1. Kliknięcie w wybraną formę reklamową (poza watermarkiem) powoduje automatyczne przejście do reklamowanego serwisu.</v>
      </c>
      <c r="C85" s="1125"/>
      <c r="D85" s="1125"/>
    </row>
    <row r="86" spans="2:27" s="266" customFormat="1" ht="12.75" customHeight="1">
      <c r="B86" s="1125" t="str">
        <f>IF('Język - Language'!$B$30="Polski","2. Liczba kontaktów użytkownika z reklamą oraz liczba kliknięć w wybraną formę reklamową jest rejestrowana w statystykach. Statystyki dostępne są “on line” przez 24 godziny na dobę.","2. The number of times a user is exposed to an advertisement and the number of clicks in a selected advertising form is registered in the records. The statistics are available “on line” 24 hours a day.")</f>
        <v>2. Liczba kontaktów użytkownika z reklamą oraz liczba kliknięć w wybraną formę reklamową jest rejestrowana w statystykach. Statystyki dostępne są “on line” przez 24 godziny na dobę.</v>
      </c>
      <c r="C86" s="1125"/>
      <c r="D86" s="1125"/>
    </row>
    <row r="87" spans="2:27" s="266" customFormat="1" ht="12.75" customHeight="1">
      <c r="B87" s="1125" t="str">
        <f>IF('Język - Language'!$B$30="Polski","3. Istnieje możliwość, że niektóre serwisy Grupy WP przestaną emitować wybrane formy reklamowe z powodów technicznych. Prosimy o każdorazowe potwierdzenie możliwości emisji reklam w poszczególnych serwisach. ","3. It might happen that certain sites will cease displaying some advertising forms due to technical reasons. This is why the possibility of displaying advertisements in particular sites should be confirmed each and every time.")</f>
        <v xml:space="preserve">3. Istnieje możliwość, że niektóre serwisy Grupy WP przestaną emitować wybrane formy reklamowe z powodów technicznych. Prosimy o każdorazowe potwierdzenie możliwości emisji reklam w poszczególnych serwisach. </v>
      </c>
      <c r="C87" s="1125"/>
      <c r="D87" s="1125"/>
    </row>
    <row r="88" spans="2:27" s="266" customFormat="1" ht="25.5" customHeight="1">
      <c r="B88" s="1125" t="str">
        <f>IF('Język - Language'!$B$30="Polski","4. Nośniki muszą spełniać warunki techniczne przedstawione w specyfikacji technicznej, pod rygorem nie przyjęcia materiału do emisji","4. The ad forms must comply with the technical conditions set forth in technical specifications; otherwise the material will not be accepted for displaying.")</f>
        <v>4. Nośniki muszą spełniać warunki techniczne przedstawione w specyfikacji technicznej, pod rygorem nie przyjęcia materiału do emisji</v>
      </c>
      <c r="C88" s="1125"/>
      <c r="D88" s="1125"/>
    </row>
    <row r="89" spans="2:27" s="266" customFormat="1" ht="12.75" customHeight="1">
      <c r="B89" s="1125" t="str">
        <f>IF('Język - Language'!$B$30="Polski","5. Dopłata za każde wybrane kryterium targetowania demograficznego to 25% Wyjątek stanowi geotargetowanie – dopłata +50 %  W przypadku wybrania kilku kryteriów, procenty sumują się.","5. Additional payments for each selected demographic targeting criterion are 25%, with the exception of geotargeting (in this particular case the additional payment is +50 %). If a few criteria are selected, the percentage is summed up.")</f>
        <v>5. Dopłata za każde wybrane kryterium targetowania demograficznego to 25% Wyjątek stanowi geotargetowanie – dopłata +50 %  W przypadku wybrania kilku kryteriów, procenty sumują się.</v>
      </c>
      <c r="C89" s="1125"/>
      <c r="D89" s="1125"/>
    </row>
    <row r="90" spans="2:27" s="266" customFormat="1" ht="12.75" customHeight="1">
      <c r="B90" s="63"/>
      <c r="C90" s="63"/>
      <c r="D90" s="63"/>
    </row>
  </sheetData>
  <mergeCells count="78">
    <mergeCell ref="I12:K12"/>
    <mergeCell ref="I13:K13"/>
    <mergeCell ref="I22:K22"/>
    <mergeCell ref="B13:C13"/>
    <mergeCell ref="I23:K23"/>
    <mergeCell ref="I19:K19"/>
    <mergeCell ref="B19:C19"/>
    <mergeCell ref="I15:K15"/>
    <mergeCell ref="B18:C18"/>
    <mergeCell ref="I14:K14"/>
    <mergeCell ref="B21:C21"/>
    <mergeCell ref="B15:C15"/>
    <mergeCell ref="B17:C17"/>
    <mergeCell ref="B14:C14"/>
    <mergeCell ref="I17:K17"/>
    <mergeCell ref="I20:K20"/>
    <mergeCell ref="B89:D89"/>
    <mergeCell ref="B84:D84"/>
    <mergeCell ref="B85:D85"/>
    <mergeCell ref="B86:D86"/>
    <mergeCell ref="B52:C52"/>
    <mergeCell ref="C64:D64"/>
    <mergeCell ref="C61:D61"/>
    <mergeCell ref="B54:C54"/>
    <mergeCell ref="B88:D88"/>
    <mergeCell ref="B69:D69"/>
    <mergeCell ref="D71:D80"/>
    <mergeCell ref="B87:D87"/>
    <mergeCell ref="C66:D66"/>
    <mergeCell ref="C57:D57"/>
    <mergeCell ref="C59:D59"/>
    <mergeCell ref="C65:D65"/>
    <mergeCell ref="B49:C49"/>
    <mergeCell ref="B50:C50"/>
    <mergeCell ref="B46:C46"/>
    <mergeCell ref="B47:C47"/>
    <mergeCell ref="B51:C51"/>
    <mergeCell ref="I21:K21"/>
    <mergeCell ref="B43:C43"/>
    <mergeCell ref="B44:C44"/>
    <mergeCell ref="B29:C29"/>
    <mergeCell ref="B26:C26"/>
    <mergeCell ref="B33:C33"/>
    <mergeCell ref="B27:C27"/>
    <mergeCell ref="B37:C37"/>
    <mergeCell ref="B45:C45"/>
    <mergeCell ref="B48:C48"/>
    <mergeCell ref="B41:C41"/>
    <mergeCell ref="B38:C38"/>
    <mergeCell ref="B32:C32"/>
    <mergeCell ref="C1:D3"/>
    <mergeCell ref="B10:C10"/>
    <mergeCell ref="B7:C7"/>
    <mergeCell ref="B11:C11"/>
    <mergeCell ref="B12:C12"/>
    <mergeCell ref="B8:C8"/>
    <mergeCell ref="B9:C9"/>
    <mergeCell ref="B16:C16"/>
    <mergeCell ref="B22:C22"/>
    <mergeCell ref="B23:C23"/>
    <mergeCell ref="B42:C42"/>
    <mergeCell ref="B24:C24"/>
    <mergeCell ref="B36:C36"/>
    <mergeCell ref="B34:C34"/>
    <mergeCell ref="B31:C31"/>
    <mergeCell ref="B40:C40"/>
    <mergeCell ref="B35:C35"/>
    <mergeCell ref="B39:C39"/>
    <mergeCell ref="B28:C28"/>
    <mergeCell ref="B25:C25"/>
    <mergeCell ref="B20:C20"/>
    <mergeCell ref="B30:C30"/>
    <mergeCell ref="C63:D63"/>
    <mergeCell ref="B53:C53"/>
    <mergeCell ref="C58:D58"/>
    <mergeCell ref="C60:D60"/>
    <mergeCell ref="B56:D56"/>
    <mergeCell ref="C62:D62"/>
  </mergeCells>
  <pageMargins left="0.7" right="0.7" top="0.75" bottom="0.75" header="0.3" footer="0.3"/>
  <pageSetup paperSize="256" scale="80" fitToHeight="0" orientation="portrait" r:id="rId1"/>
  <ignoredErrors>
    <ignoredError sqref="D30 D44:D51 D53:D54 D32:D33 D39:D42 D71 D81:D82 D8:D27 D37" numberStoredAsText="1"/>
    <ignoredError sqref="D36 B80:B8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Język - Language</vt:lpstr>
      <vt:lpstr>Multiscreen</vt:lpstr>
      <vt:lpstr>Mobile</vt:lpstr>
      <vt:lpstr>Desktop Flat Fee</vt:lpstr>
      <vt:lpstr>Serwisy &amp; Pakiety</vt:lpstr>
      <vt:lpstr>Wideo &amp; Audio</vt:lpstr>
      <vt:lpstr>Poczta - Email service</vt:lpstr>
      <vt:lpstr>Content Marketing</vt:lpstr>
      <vt:lpstr>Dopłaty - Extra charges</vt:lpstr>
      <vt:lpstr>Docs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2020-09-30T06:53:09Z</dcterms:modified>
</cp:coreProperties>
</file>